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ernando\Francisco Soto\"/>
    </mc:Choice>
  </mc:AlternateContent>
  <bookViews>
    <workbookView xWindow="240" yWindow="45" windowWidth="13935" windowHeight="2010" tabRatio="607"/>
  </bookViews>
  <sheets>
    <sheet name="Captura" sheetId="7" r:id="rId1"/>
    <sheet name="Calculos a Detalle Captura" sheetId="9" state="hidden" r:id="rId2"/>
    <sheet name="Calculos pegasus" sheetId="6" state="hidden" r:id="rId3"/>
  </sheets>
  <definedNames>
    <definedName name="_xlnm.Print_Area" localSheetId="0">Captura!$C$75:$O$94</definedName>
    <definedName name="_xlnm.Print_Titles" localSheetId="0">Captura!$1:$6</definedName>
  </definedNames>
  <calcPr calcId="152511"/>
</workbook>
</file>

<file path=xl/calcChain.xml><?xml version="1.0" encoding="utf-8"?>
<calcChain xmlns="http://schemas.openxmlformats.org/spreadsheetml/2006/main">
  <c r="I12" i="6" l="1"/>
  <c r="J17" i="6" l="1"/>
  <c r="F33" i="7" l="1"/>
  <c r="N87" i="7" l="1"/>
  <c r="N77" i="7"/>
  <c r="L4" i="9" l="1"/>
  <c r="K59" i="9"/>
  <c r="K58" i="9"/>
  <c r="K57" i="9"/>
  <c r="K56" i="9"/>
  <c r="C61" i="9"/>
  <c r="C59" i="9"/>
  <c r="C58" i="9"/>
  <c r="C57" i="9"/>
  <c r="C55" i="9"/>
  <c r="C56" i="9" s="1"/>
  <c r="H53" i="9"/>
  <c r="H52" i="9"/>
  <c r="H51" i="9"/>
  <c r="H49" i="9"/>
  <c r="H48" i="9"/>
  <c r="C53" i="9"/>
  <c r="C52" i="9"/>
  <c r="C50" i="9"/>
  <c r="C51" i="9" s="1"/>
  <c r="C48" i="9"/>
  <c r="C49" i="9" s="1"/>
  <c r="C43" i="9"/>
  <c r="J59" i="9" s="1"/>
  <c r="C42" i="9"/>
  <c r="J58" i="9" s="1"/>
  <c r="C41" i="9"/>
  <c r="J57" i="9" s="1"/>
  <c r="C40" i="9"/>
  <c r="J56" i="9" s="1"/>
  <c r="D32" i="9"/>
  <c r="L26" i="9"/>
  <c r="L25" i="9"/>
  <c r="L24" i="9"/>
  <c r="L23" i="9"/>
  <c r="L22" i="9"/>
  <c r="C24" i="9"/>
  <c r="C23" i="9"/>
  <c r="C21" i="9"/>
  <c r="C20" i="9"/>
  <c r="J17" i="9"/>
  <c r="E16" i="9"/>
  <c r="D31" i="9" s="1"/>
  <c r="D33" i="9" l="1"/>
  <c r="D39" i="9" s="1"/>
  <c r="D40" i="9" s="1"/>
  <c r="O26" i="9"/>
  <c r="F93" i="7" s="1"/>
  <c r="C26" i="9"/>
  <c r="K60" i="9"/>
  <c r="H50" i="9"/>
  <c r="H54" i="9" s="1"/>
  <c r="C6" i="9"/>
  <c r="C44" i="9"/>
  <c r="J25" i="6"/>
  <c r="J24" i="6"/>
  <c r="I18" i="6"/>
  <c r="I11" i="6"/>
  <c r="I16" i="6" s="1"/>
  <c r="I10" i="6"/>
  <c r="I17" i="6" s="1"/>
  <c r="I9" i="6"/>
  <c r="I23" i="6" s="1"/>
  <c r="J23" i="6" s="1"/>
  <c r="I88" i="6"/>
  <c r="I89" i="6" s="1"/>
  <c r="H18" i="6"/>
  <c r="H17" i="6"/>
  <c r="H16" i="6"/>
  <c r="J12" i="6"/>
  <c r="E8" i="6"/>
  <c r="E7" i="6"/>
  <c r="E6" i="6"/>
  <c r="F89" i="7" l="1"/>
  <c r="D43" i="9"/>
  <c r="G43" i="9" s="1"/>
  <c r="H43" i="9" s="1"/>
  <c r="I43" i="9" s="1"/>
  <c r="D42" i="9"/>
  <c r="F42" i="9" s="1"/>
  <c r="D41" i="9"/>
  <c r="F41" i="9" s="1"/>
  <c r="F77" i="7"/>
  <c r="C10" i="9"/>
  <c r="C9" i="9"/>
  <c r="E40" i="9"/>
  <c r="G40" i="9" s="1"/>
  <c r="H40" i="9" s="1"/>
  <c r="I40" i="9" s="1"/>
  <c r="C7" i="9"/>
  <c r="J10" i="6"/>
  <c r="I21" i="6"/>
  <c r="J21" i="6" s="1"/>
  <c r="J11" i="6"/>
  <c r="I22" i="6"/>
  <c r="J22" i="6" s="1"/>
  <c r="J18" i="6"/>
  <c r="I15" i="6"/>
  <c r="J15" i="6" s="1"/>
  <c r="J9" i="6"/>
  <c r="J13" i="6" l="1"/>
  <c r="E42" i="9"/>
  <c r="G42" i="9" s="1"/>
  <c r="H42" i="9" s="1"/>
  <c r="I42" i="9" s="1"/>
  <c r="E41" i="9"/>
  <c r="G41" i="9" s="1"/>
  <c r="H41" i="9" s="1"/>
  <c r="I41" i="9" s="1"/>
  <c r="D44" i="9"/>
  <c r="C8" i="9"/>
  <c r="F79" i="7"/>
  <c r="F83" i="7"/>
  <c r="F85" i="7"/>
  <c r="J19" i="6"/>
  <c r="H29" i="6" s="1"/>
  <c r="H28" i="6" l="1"/>
  <c r="K7" i="9"/>
  <c r="L7" i="9" s="1"/>
  <c r="N81" i="7" s="1"/>
  <c r="J31" i="6"/>
  <c r="J32" i="6" s="1"/>
  <c r="J29" i="6"/>
  <c r="J30" i="6"/>
  <c r="K6" i="9"/>
  <c r="L6" i="9" s="1"/>
  <c r="N79" i="7" s="1"/>
  <c r="I44" i="9"/>
  <c r="J44" i="9" s="1"/>
  <c r="K44" i="9" s="1"/>
  <c r="F81" i="7"/>
  <c r="K8" i="9" l="1"/>
  <c r="L8" i="9" s="1"/>
  <c r="N83" i="7" s="1"/>
  <c r="G26" i="9"/>
  <c r="F91" i="7" l="1"/>
  <c r="E17" i="9"/>
  <c r="C5" i="9" s="1"/>
  <c r="F87" i="7" l="1"/>
  <c r="K11" i="9"/>
  <c r="N85" i="7" s="1"/>
</calcChain>
</file>

<file path=xl/sharedStrings.xml><?xml version="1.0" encoding="utf-8"?>
<sst xmlns="http://schemas.openxmlformats.org/spreadsheetml/2006/main" count="304" uniqueCount="229">
  <si>
    <t>Estimación de Costos de mensajería y Valija</t>
  </si>
  <si>
    <t>Mezcla:</t>
  </si>
  <si>
    <t>Interinmueble (Mismo edificio)</t>
  </si>
  <si>
    <t>Externos y Delegaciones (Foráneos)}</t>
  </si>
  <si>
    <t>Porcentaje</t>
  </si>
  <si>
    <t>Costos</t>
  </si>
  <si>
    <t>Sueldo integrado mensajero</t>
  </si>
  <si>
    <t>Costo relacionado del vehículo x km recorrido</t>
  </si>
  <si>
    <t>Sueldo mensual integrado chofer</t>
  </si>
  <si>
    <t>Costo por hora</t>
  </si>
  <si>
    <t>Número de hojas promedio estimadas por documento</t>
  </si>
  <si>
    <t>Costo de mensajería foránea por documento</t>
  </si>
  <si>
    <t>Costo de pasajes por mensajero por día</t>
  </si>
  <si>
    <t>Número de kilómetros por entrega</t>
  </si>
  <si>
    <t>Número de entregas por hora</t>
  </si>
  <si>
    <t>Interdependencia (Diferentes inmuebles, misma secretaría) mensajero</t>
  </si>
  <si>
    <t>Interdependencia (Diferentes inmuebles, misma secretaría) chofer</t>
  </si>
  <si>
    <t>Recurso humano</t>
  </si>
  <si>
    <t>Pasaje/Costo transporte</t>
  </si>
  <si>
    <t>Costo total</t>
  </si>
  <si>
    <t>Número de docs. X persona / mes</t>
  </si>
  <si>
    <t>Sueldo por hora por mensajero</t>
  </si>
  <si>
    <t>Costo de pasaje por hora</t>
  </si>
  <si>
    <t>Costo por envío</t>
  </si>
  <si>
    <t>Total</t>
  </si>
  <si>
    <t>promedio</t>
  </si>
  <si>
    <t>Costo incremental por hoja X Envío</t>
  </si>
  <si>
    <t>Tráfico</t>
  </si>
  <si>
    <t>Mensajero</t>
  </si>
  <si>
    <t>Chofer</t>
  </si>
  <si>
    <t>Mensajería</t>
  </si>
  <si>
    <t>Número de hojas promedio por mes por usuario</t>
  </si>
  <si>
    <t>Número estimado de documentos (v.g. 11.3 originales c/3 copias X mes)</t>
  </si>
  <si>
    <t>Fotocopiado</t>
  </si>
  <si>
    <t>Promedio</t>
  </si>
  <si>
    <t>Tipo de Impresión</t>
  </si>
  <si>
    <t>Mezcla</t>
  </si>
  <si>
    <t>Impresora</t>
  </si>
  <si>
    <t>Por impresora (pesos X hoja)</t>
  </si>
  <si>
    <t>Fotocopiado (pesos X hoja)</t>
  </si>
  <si>
    <t>Renta de Bodega</t>
  </si>
  <si>
    <t>Pesos x m2</t>
  </si>
  <si>
    <t>Mantenimiento de Bodega</t>
  </si>
  <si>
    <t>Seguridad Bodega</t>
  </si>
  <si>
    <t>Tiempo de Resguardo</t>
  </si>
  <si>
    <t>Años</t>
  </si>
  <si>
    <t>Hojas</t>
  </si>
  <si>
    <t>(Costo M2 mes + mant M2 + Seguridad y Seguros M2 X 120 meses)/ Hojas X M2</t>
  </si>
  <si>
    <t>Hojas x m2 (con estantería)</t>
  </si>
  <si>
    <t>(A) Estimación de Costos de impresión</t>
  </si>
  <si>
    <t>(B) Estimación de Costos Distribución</t>
  </si>
  <si>
    <t>Ahorro estimado por hoja (Impresión, Distribución, Almacenamiento) A+B+C</t>
  </si>
  <si>
    <t>(C) Estimación de Costos de Almacenamiento</t>
  </si>
  <si>
    <t>Número de Usuarios de Peg@sus</t>
  </si>
  <si>
    <t>Número de Hojas promedio por persona por mes según estadísticas del Sistema</t>
  </si>
  <si>
    <t>Número de Hojas Ahorradas</t>
  </si>
  <si>
    <t>Número de Arboles Salvados en 6 años</t>
  </si>
  <si>
    <t>Número de Hectáreas Salvadas en 6 años</t>
  </si>
  <si>
    <t>Ahorro Anual (MXP)</t>
  </si>
  <si>
    <t>* Trámite:</t>
  </si>
  <si>
    <t>Tiempo de Impresión</t>
  </si>
  <si>
    <t>Tiempo de espera a recolección</t>
  </si>
  <si>
    <t>Tiempo en Ventanilla</t>
  </si>
  <si>
    <t>Tiempo en Distribución Destino</t>
  </si>
  <si>
    <t>Tiempo en Escritorio</t>
  </si>
  <si>
    <t>Hrs</t>
  </si>
  <si>
    <t>Tiempo de Distribución (Promedio)</t>
  </si>
  <si>
    <t>Total espera</t>
  </si>
  <si>
    <t>Número de Horas Ahorradas en Distribución*</t>
  </si>
  <si>
    <t>Número de días ahorrados por usuario por año (1 original y 3 copias en paralelo)</t>
  </si>
  <si>
    <t>RESULTADOS OBTENIDOS</t>
  </si>
  <si>
    <t>Calculos Generados</t>
  </si>
  <si>
    <t>Resultado calculado en celda color Gris</t>
  </si>
  <si>
    <t>Llenar información en celdas color Amarillo</t>
  </si>
  <si>
    <t>B)Estimación de Costos Distribución</t>
  </si>
  <si>
    <t>(Ver detalle)</t>
  </si>
  <si>
    <t>Detalle</t>
  </si>
  <si>
    <t>MXP</t>
  </si>
  <si>
    <t>Arboles</t>
  </si>
  <si>
    <t>HA</t>
  </si>
  <si>
    <t>Días</t>
  </si>
  <si>
    <t>Número de documentos entregados por hora mismo edificio</t>
  </si>
  <si>
    <t>Número de documentos entregados por hora diferentes inmuebles</t>
  </si>
  <si>
    <t>Estimación de ahorro en una oficina Paperless</t>
  </si>
  <si>
    <t xml:space="preserve"> </t>
  </si>
  <si>
    <t>INVERSIÓN PEG@SUS</t>
  </si>
  <si>
    <t>Simulador de Cotizaciones Peg@sus:  Gobierno Federal / Contrato Marco</t>
  </si>
  <si>
    <t>Precio Lista</t>
  </si>
  <si>
    <t>Descuento</t>
  </si>
  <si>
    <t>Precio</t>
  </si>
  <si>
    <t>Cotizar</t>
  </si>
  <si>
    <t>Número Usuarios</t>
  </si>
  <si>
    <t>Licencia Servidor</t>
  </si>
  <si>
    <t>Años Mtto y Soporte</t>
  </si>
  <si>
    <t>Licencia Nombrada</t>
  </si>
  <si>
    <t>Soporte Estándar</t>
  </si>
  <si>
    <t>Implementación</t>
  </si>
  <si>
    <t>Concepto Licenciamiento</t>
  </si>
  <si>
    <t>Precio Unitario Acorde Contrato Marco USD</t>
  </si>
  <si>
    <t>Cant.</t>
  </si>
  <si>
    <t>TOTAL USD</t>
  </si>
  <si>
    <t>SAAS</t>
  </si>
  <si>
    <t>Lic. Servidor</t>
  </si>
  <si>
    <t>Mantenimiento</t>
  </si>
  <si>
    <t>Lic Conector</t>
  </si>
  <si>
    <t>Mtto Lic. Servidor (por Año)</t>
  </si>
  <si>
    <t>Mtto Lic. Usuario (por Año)</t>
  </si>
  <si>
    <t>Lic. Usuario</t>
  </si>
  <si>
    <t>Descuento de Mtto:</t>
  </si>
  <si>
    <t>al Contratar Tres años</t>
  </si>
  <si>
    <t>Concepto Licenciamiento de actualización</t>
  </si>
  <si>
    <t>al Contratar Cuatro años</t>
  </si>
  <si>
    <t>Licencia de Actualizacion Servidor (1 Año)</t>
  </si>
  <si>
    <t>al Contratar Cinco años</t>
  </si>
  <si>
    <t>Licencia de Actualización Broker (Comunidad)</t>
  </si>
  <si>
    <t>Licencia de actialización Conector</t>
  </si>
  <si>
    <t>Licencia de Actualización Usuarios (1 año)</t>
  </si>
  <si>
    <t>Soporte Estándar (por año)</t>
  </si>
  <si>
    <t>5x8</t>
  </si>
  <si>
    <t>Concepto Servicios de Soporte</t>
  </si>
  <si>
    <t>5x12</t>
  </si>
  <si>
    <t>5x24</t>
  </si>
  <si>
    <t>Soporte Remoto 5x8</t>
  </si>
  <si>
    <t>7x24</t>
  </si>
  <si>
    <t>Soporte Remoto 5x12</t>
  </si>
  <si>
    <t>Soporte Remoto 7x24</t>
  </si>
  <si>
    <t>Total:</t>
  </si>
  <si>
    <t>Año1</t>
  </si>
  <si>
    <t>Año 2</t>
  </si>
  <si>
    <t>Notas:</t>
  </si>
  <si>
    <t>Año3</t>
  </si>
  <si>
    <t>1. Este simulador de cotizaciones Peg@sus es para fines de dar una estimación de los precios</t>
  </si>
  <si>
    <t>2. Los Precios y descuentos pueden variar a la firma del contrato marco</t>
  </si>
  <si>
    <t>3. La cotización final debe ser provista y firmada por un ejecutivo de Pegaso Tecnología</t>
  </si>
  <si>
    <t>Conector</t>
  </si>
  <si>
    <t>Hasta 1000</t>
  </si>
  <si>
    <t>Hasta 3000</t>
  </si>
  <si>
    <t>Hasta 10,000</t>
  </si>
  <si>
    <t>Inversion primer año</t>
  </si>
  <si>
    <t xml:space="preserve">Inversión años subsecuentes </t>
  </si>
  <si>
    <t xml:space="preserve">Promedio 5 años </t>
  </si>
  <si>
    <t>TC</t>
  </si>
  <si>
    <t>Soporte Funcional año 1 (unidades)</t>
  </si>
  <si>
    <t>Soporte Funcional año subsecuente (unidades)</t>
  </si>
  <si>
    <t xml:space="preserve">BENEFICIO NETO </t>
  </si>
  <si>
    <t xml:space="preserve">Costo total de propiedad </t>
  </si>
  <si>
    <t>Costo propiedad año 1</t>
  </si>
  <si>
    <t xml:space="preserve">Costo propiedad años subsecuentes  </t>
  </si>
  <si>
    <t>Almacenaje</t>
  </si>
  <si>
    <t>Cantidad</t>
  </si>
  <si>
    <t>%</t>
  </si>
  <si>
    <t>Estimación de documentos</t>
  </si>
  <si>
    <t>Indicar el volumen de hojas</t>
  </si>
  <si>
    <t>Indicar Tipo de impresión</t>
  </si>
  <si>
    <t>Indicar Trafico</t>
  </si>
  <si>
    <t>Indicar Tiempos</t>
  </si>
  <si>
    <t>Mensajeria</t>
  </si>
  <si>
    <t>Tipo de cambio DOF</t>
  </si>
  <si>
    <t>% Total</t>
  </si>
  <si>
    <t>Valores</t>
  </si>
  <si>
    <t>Indicar Costos relacionados a mensajeria</t>
  </si>
  <si>
    <t>Número de hojas promedio por mes por usuario          (1)</t>
  </si>
  <si>
    <t>Número de hojas promedio estimadas por documento (2)</t>
  </si>
  <si>
    <t>Por impresora (pesos X hoja)  (3)</t>
  </si>
  <si>
    <t>Fotocopiado (pesos X hoja) (4)</t>
  </si>
  <si>
    <t>Interinmueble (Mismo edificio) (5)</t>
  </si>
  <si>
    <t>Interdependencia (Diferentes inmuebles, misma secretaría) mensajero                             (6)</t>
  </si>
  <si>
    <t>Externos y Delegaciones (Foráneos)                           (8)</t>
  </si>
  <si>
    <t xml:space="preserve">Tiempo de espera a recolección                                (10) </t>
  </si>
  <si>
    <t>Tiempo en Ventanilla       (11)</t>
  </si>
  <si>
    <t>Tiempo en Distribución Destino (12)</t>
  </si>
  <si>
    <t>Tiempo en Escritorio         (13)</t>
  </si>
  <si>
    <t>Interdependencia URG(Diferentes inmuebles, misma secretaría) chofer                                    (7)</t>
  </si>
  <si>
    <t>Tiempo de Impresión        (9)</t>
  </si>
  <si>
    <t>Sueldo integrado mensajero   (14)</t>
  </si>
  <si>
    <t>Costo de pasajes por mensajero por día                                   (15)</t>
  </si>
  <si>
    <t>Número de documentos entregados por hora mismo edificio                               (16)</t>
  </si>
  <si>
    <t>Número de documentos entregados por hora diferentes inmuebles                       (17)</t>
  </si>
  <si>
    <t>Sueldo mensual integrado chofer (18)</t>
  </si>
  <si>
    <t>Costo relacionado del vehículo x km recorrido                            (19)</t>
  </si>
  <si>
    <t>Número de kilómetros por entrega                                  (20)</t>
  </si>
  <si>
    <t>Número de entregas por hora  (21)</t>
  </si>
  <si>
    <t>Costo de mensajería foránea por documento                          (22)</t>
  </si>
  <si>
    <t>Mantenimiento de Bodega    (24)</t>
  </si>
  <si>
    <t>Renta de Bodega                     (23)</t>
  </si>
  <si>
    <t>Hojas x m2 (con estantería)   (26)</t>
  </si>
  <si>
    <t>Seguridad Bodega                 (25)</t>
  </si>
  <si>
    <t>Tipo de cambio DOF            (28)</t>
  </si>
  <si>
    <t>Número de Usuarios de    Peg@sus                               (27)</t>
  </si>
  <si>
    <t>Valor Sugerido por Pegaso Tecnología</t>
  </si>
  <si>
    <t>BENEFICIO NETO (MXP)</t>
  </si>
  <si>
    <t>Ahorro Anual (MXP)*</t>
  </si>
  <si>
    <t>*Ahorro en impresión</t>
  </si>
  <si>
    <t>*Ahorro en mensajería</t>
  </si>
  <si>
    <t>*Ahorro en almacenamiento</t>
  </si>
  <si>
    <t>Es el promedio del numero de hojas que un funcionario genera por documento en un mes.</t>
  </si>
  <si>
    <t>Se refiere a las hojas que conforman a un documento.</t>
  </si>
  <si>
    <t>Costo de impresión por hoja.</t>
  </si>
  <si>
    <t>Se refiere al porcentaje de impresiones de la maquina.</t>
  </si>
  <si>
    <t xml:space="preserve">Costo de fotocopiado por hoja. </t>
  </si>
  <si>
    <t>Se refiere al porcentaje de fotocopiado de la maquina.</t>
  </si>
  <si>
    <t>Cuantos documentos son entregados en el mismo edificio.</t>
  </si>
  <si>
    <t>Tiempo que se lleva entregar los documentos.</t>
  </si>
  <si>
    <t xml:space="preserve">Cuantos documentos son entregados en diferentes edificios pero misma Dependencia por un mensajero sin coche. </t>
  </si>
  <si>
    <t xml:space="preserve">Cuantos documentos son entregados en diferentes edificios pero misma Dependencia por un mensajero con coche. </t>
  </si>
  <si>
    <t>Tiempo que se lleva entregar los documentos  en diferentes edificios de la misma Dependencia.</t>
  </si>
  <si>
    <t xml:space="preserve">Cuantos documentos son entregados a Dependencias en el interior de la Republica o Entidades Privadas en la Republica. </t>
  </si>
  <si>
    <t>Tiempo se  lleva entregar los documentos a externos y Delegaciones foráneas.</t>
  </si>
  <si>
    <t>Tiempo que tarda en realizar una impresión la maquina correspondiente.</t>
  </si>
  <si>
    <t xml:space="preserve">Tiempo que tarda un usuario en recolectar una impresión o fotocopiado. </t>
  </si>
  <si>
    <t>Tiempo que pasa un documento en la ventanilla de recolección para su distribución.</t>
  </si>
  <si>
    <t>Tiempo que tarda un documento en llegar a su destino.</t>
  </si>
  <si>
    <t>Tiempo que pasa un documento en el escritorio del funcionario antes de ser revisado.</t>
  </si>
  <si>
    <t>Sueldo mensual más todas las prestaciones de Ley y otras prestaciones como comidas, transporte, vales de despensa, entre otras.</t>
  </si>
  <si>
    <t xml:space="preserve">Costos de los pasajes del mensajero que utiliza por día. </t>
  </si>
  <si>
    <t>Cuantos documentos entrega un mensajero en el mismo edificio en una hora.</t>
  </si>
  <si>
    <t>Cuantos documentos entrega un mensajero en diferentes edificios en una hora.</t>
  </si>
  <si>
    <t>Costo de km recorrido cuando se una un mensajero chofer.</t>
  </si>
  <si>
    <t>Cuantos kilómetros recorridos por cada entrega echa.</t>
  </si>
  <si>
    <t>Cuantas entregas realiza un mensajero chofer en una hora.</t>
  </si>
  <si>
    <t>Costo del servicio de mensajería para entregas foráneas.</t>
  </si>
  <si>
    <t>Costo  total por renta de bodega para almacenar documentos físicos.</t>
  </si>
  <si>
    <t>Costo del mantenimiento de la bodega (limpieza, servicio de luz, estantes).</t>
  </si>
  <si>
    <t>Costo por la seguridad que cuidara la bodega.</t>
  </si>
  <si>
    <t>Cuantos hojas caben por m2 (con estantería).</t>
  </si>
  <si>
    <t>Numero de usuarios Peg@sus con los que se realizara la simulación.</t>
  </si>
  <si>
    <t>Tipo de cambios según lo establecido en el Diario Oficial de la Federación.</t>
  </si>
  <si>
    <t>Definición de cuadros a rellenar</t>
  </si>
  <si>
    <t>Lic. Broker (OPE)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</si>
</sst>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&quot;$&quot;* #,##0_-;\-&quot;$&quot;* #,##0_-;_-&quot;$&quot;* &quot;-&quot;??_-;_-@_-"/>
    <numFmt numFmtId="167" formatCode="#,##0.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name val="Calibri"/>
      <family val="2"/>
      <scheme val="minor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8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gradientFill type="path">
        <stop position="0">
          <color theme="0"/>
        </stop>
        <stop position="1">
          <color rgb="FFFFC000"/>
        </stop>
      </gradient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 style="double">
        <color rgb="FF3F3F3F"/>
      </left>
      <right/>
      <top/>
      <bottom/>
      <diagonal/>
    </border>
    <border>
      <left/>
      <right style="double">
        <color rgb="FF3F3F3F"/>
      </right>
      <top/>
      <bottom/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2" borderId="2" applyNumberFormat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227">
    <xf numFmtId="0" fontId="0" fillId="0" borderId="0" xfId="0"/>
    <xf numFmtId="0" fontId="3" fillId="0" borderId="0" xfId="0" applyFont="1"/>
    <xf numFmtId="43" fontId="3" fillId="0" borderId="0" xfId="1" applyFont="1"/>
    <xf numFmtId="0" fontId="4" fillId="0" borderId="1" xfId="3" applyFont="1"/>
    <xf numFmtId="0" fontId="4" fillId="0" borderId="0" xfId="0" applyFont="1"/>
    <xf numFmtId="9" fontId="4" fillId="0" borderId="1" xfId="3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43" fontId="3" fillId="0" borderId="0" xfId="0" applyNumberFormat="1" applyFont="1"/>
    <xf numFmtId="43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/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43" fontId="5" fillId="2" borderId="2" xfId="4" applyNumberFormat="1" applyFont="1"/>
    <xf numFmtId="0" fontId="4" fillId="0" borderId="0" xfId="0" applyFont="1" applyAlignment="1">
      <alignment vertical="center"/>
    </xf>
    <xf numFmtId="0" fontId="5" fillId="2" borderId="2" xfId="4" applyFont="1" applyAlignment="1">
      <alignment horizontal="center" vertical="center"/>
    </xf>
    <xf numFmtId="0" fontId="3" fillId="5" borderId="0" xfId="0" applyFont="1" applyFill="1"/>
    <xf numFmtId="43" fontId="3" fillId="5" borderId="5" xfId="1" applyFont="1" applyFill="1" applyBorder="1"/>
    <xf numFmtId="0" fontId="4" fillId="5" borderId="9" xfId="0" applyFont="1" applyFill="1" applyBorder="1"/>
    <xf numFmtId="0" fontId="3" fillId="0" borderId="10" xfId="0" applyFont="1" applyBorder="1"/>
    <xf numFmtId="0" fontId="4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4" xfId="0" applyFont="1" applyBorder="1"/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7" xfId="0" applyFont="1" applyBorder="1"/>
    <xf numFmtId="0" fontId="5" fillId="2" borderId="18" xfId="4" applyFont="1" applyBorder="1"/>
    <xf numFmtId="0" fontId="3" fillId="0" borderId="19" xfId="0" applyFont="1" applyBorder="1"/>
    <xf numFmtId="0" fontId="4" fillId="0" borderId="10" xfId="0" applyFont="1" applyBorder="1"/>
    <xf numFmtId="0" fontId="3" fillId="0" borderId="15" xfId="0" applyFont="1" applyBorder="1"/>
    <xf numFmtId="0" fontId="3" fillId="0" borderId="16" xfId="0" applyFont="1" applyBorder="1"/>
    <xf numFmtId="43" fontId="5" fillId="2" borderId="18" xfId="4" applyNumberFormat="1" applyFont="1" applyBorder="1"/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43" fontId="5" fillId="2" borderId="20" xfId="4" applyNumberFormat="1" applyFont="1" applyBorder="1"/>
    <xf numFmtId="0" fontId="8" fillId="0" borderId="0" xfId="0" applyFont="1"/>
    <xf numFmtId="0" fontId="9" fillId="0" borderId="0" xfId="0" applyFont="1"/>
    <xf numFmtId="0" fontId="8" fillId="0" borderId="4" xfId="0" applyFont="1" applyBorder="1"/>
    <xf numFmtId="0" fontId="8" fillId="0" borderId="6" xfId="0" applyFont="1" applyBorder="1"/>
    <xf numFmtId="0" fontId="3" fillId="3" borderId="0" xfId="0" applyFont="1" applyFill="1"/>
    <xf numFmtId="0" fontId="3" fillId="0" borderId="0" xfId="0" applyFont="1" applyFill="1"/>
    <xf numFmtId="44" fontId="5" fillId="0" borderId="0" xfId="5" applyFont="1" applyFill="1" applyBorder="1"/>
    <xf numFmtId="43" fontId="5" fillId="0" borderId="0" xfId="4" applyNumberFormat="1" applyFont="1" applyFill="1" applyBorder="1" applyAlignment="1">
      <alignment horizontal="center"/>
    </xf>
    <xf numFmtId="0" fontId="4" fillId="0" borderId="15" xfId="0" applyFont="1" applyBorder="1"/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3" fillId="0" borderId="0" xfId="0" applyFont="1" applyAlignment="1">
      <alignment wrapText="1"/>
    </xf>
    <xf numFmtId="0" fontId="12" fillId="0" borderId="10" xfId="0" applyFont="1" applyBorder="1"/>
    <xf numFmtId="43" fontId="10" fillId="3" borderId="2" xfId="4" applyNumberFormat="1" applyFont="1" applyFill="1"/>
    <xf numFmtId="43" fontId="10" fillId="2" borderId="2" xfId="4" applyNumberFormat="1" applyFont="1"/>
    <xf numFmtId="164" fontId="10" fillId="3" borderId="2" xfId="1" applyNumberFormat="1" applyFont="1" applyFill="1" applyBorder="1"/>
    <xf numFmtId="0" fontId="12" fillId="0" borderId="0" xfId="0" applyFont="1"/>
    <xf numFmtId="0" fontId="11" fillId="4" borderId="14" xfId="0" applyFont="1" applyFill="1" applyBorder="1"/>
    <xf numFmtId="0" fontId="11" fillId="4" borderId="19" xfId="0" applyFont="1" applyFill="1" applyBorder="1"/>
    <xf numFmtId="0" fontId="10" fillId="2" borderId="2" xfId="4" applyFont="1"/>
    <xf numFmtId="44" fontId="10" fillId="3" borderId="2" xfId="5" applyFont="1" applyFill="1" applyBorder="1"/>
    <xf numFmtId="9" fontId="10" fillId="3" borderId="2" xfId="2" applyFont="1" applyFill="1" applyBorder="1"/>
    <xf numFmtId="165" fontId="10" fillId="3" borderId="2" xfId="1" applyNumberFormat="1" applyFont="1" applyFill="1" applyBorder="1"/>
    <xf numFmtId="0" fontId="6" fillId="0" borderId="7" xfId="0" applyFont="1" applyBorder="1"/>
    <xf numFmtId="0" fontId="17" fillId="0" borderId="3" xfId="0" applyFont="1" applyBorder="1"/>
    <xf numFmtId="0" fontId="17" fillId="0" borderId="4" xfId="0" applyFont="1" applyBorder="1"/>
    <xf numFmtId="0" fontId="6" fillId="0" borderId="0" xfId="0" applyFont="1" applyBorder="1"/>
    <xf numFmtId="0" fontId="17" fillId="0" borderId="0" xfId="0" applyFont="1"/>
    <xf numFmtId="44" fontId="0" fillId="0" borderId="0" xfId="0" applyNumberFormat="1"/>
    <xf numFmtId="0" fontId="20" fillId="0" borderId="0" xfId="0" applyFont="1" applyAlignment="1">
      <alignment horizontal="justify" vertical="center"/>
    </xf>
    <xf numFmtId="44" fontId="0" fillId="0" borderId="0" xfId="6" applyFont="1"/>
    <xf numFmtId="0" fontId="0" fillId="6" borderId="8" xfId="0" applyFill="1" applyBorder="1" applyAlignment="1">
      <alignment vertical="center"/>
    </xf>
    <xf numFmtId="0" fontId="21" fillId="6" borderId="8" xfId="0" applyFont="1" applyFill="1" applyBorder="1" applyAlignment="1">
      <alignment horizontal="right" vertical="center"/>
    </xf>
    <xf numFmtId="0" fontId="21" fillId="6" borderId="8" xfId="0" applyFont="1" applyFill="1" applyBorder="1" applyAlignment="1">
      <alignment horizontal="right" vertical="center" wrapText="1"/>
    </xf>
    <xf numFmtId="0" fontId="0" fillId="0" borderId="0" xfId="0" applyFill="1"/>
    <xf numFmtId="44" fontId="0" fillId="0" borderId="0" xfId="6" applyFont="1" applyFill="1"/>
    <xf numFmtId="0" fontId="0" fillId="0" borderId="25" xfId="0" applyBorder="1"/>
    <xf numFmtId="0" fontId="0" fillId="0" borderId="28" xfId="0" applyBorder="1" applyProtection="1">
      <protection locked="0"/>
    </xf>
    <xf numFmtId="0" fontId="0" fillId="0" borderId="28" xfId="0" applyFill="1" applyBorder="1" applyProtection="1">
      <protection locked="0"/>
    </xf>
    <xf numFmtId="43" fontId="0" fillId="0" borderId="29" xfId="7" applyFont="1" applyBorder="1"/>
    <xf numFmtId="44" fontId="0" fillId="0" borderId="29" xfId="6" applyFont="1" applyBorder="1"/>
    <xf numFmtId="9" fontId="0" fillId="0" borderId="29" xfId="7" applyNumberFormat="1" applyFont="1" applyBorder="1"/>
    <xf numFmtId="43" fontId="0" fillId="0" borderId="0" xfId="7" applyFont="1" applyBorder="1"/>
    <xf numFmtId="0" fontId="0" fillId="0" borderId="33" xfId="0" applyBorder="1" applyProtection="1">
      <protection locked="0"/>
    </xf>
    <xf numFmtId="43" fontId="0" fillId="8" borderId="0" xfId="7" applyFont="1" applyFill="1" applyBorder="1"/>
    <xf numFmtId="0" fontId="23" fillId="9" borderId="8" xfId="0" applyFont="1" applyFill="1" applyBorder="1" applyAlignment="1">
      <alignment horizontal="center" vertical="center"/>
    </xf>
    <xf numFmtId="0" fontId="23" fillId="9" borderId="8" xfId="0" applyFont="1" applyFill="1" applyBorder="1" applyAlignment="1">
      <alignment horizontal="center" vertical="center" wrapText="1"/>
    </xf>
    <xf numFmtId="0" fontId="0" fillId="8" borderId="0" xfId="0" applyFill="1"/>
    <xf numFmtId="44" fontId="0" fillId="8" borderId="0" xfId="6" applyFont="1" applyFill="1" applyBorder="1"/>
    <xf numFmtId="164" fontId="0" fillId="8" borderId="0" xfId="7" applyNumberFormat="1" applyFont="1" applyFill="1" applyBorder="1"/>
    <xf numFmtId="44" fontId="0" fillId="8" borderId="0" xfId="0" applyNumberFormat="1" applyFill="1"/>
    <xf numFmtId="43" fontId="24" fillId="0" borderId="29" xfId="7" applyFont="1" applyBorder="1"/>
    <xf numFmtId="43" fontId="0" fillId="0" borderId="29" xfId="7" applyFont="1" applyBorder="1" applyAlignment="1">
      <alignment horizontal="left"/>
    </xf>
    <xf numFmtId="0" fontId="25" fillId="0" borderId="29" xfId="6" applyNumberFormat="1" applyFont="1" applyBorder="1"/>
    <xf numFmtId="9" fontId="21" fillId="0" borderId="29" xfId="7" applyNumberFormat="1" applyFont="1" applyBorder="1"/>
    <xf numFmtId="44" fontId="0" fillId="8" borderId="34" xfId="0" applyNumberFormat="1" applyFill="1" applyBorder="1"/>
    <xf numFmtId="8" fontId="0" fillId="8" borderId="0" xfId="0" applyNumberFormat="1" applyFill="1"/>
    <xf numFmtId="9" fontId="26" fillId="0" borderId="29" xfId="7" applyNumberFormat="1" applyFont="1" applyBorder="1"/>
    <xf numFmtId="43" fontId="0" fillId="0" borderId="29" xfId="7" applyFont="1" applyBorder="1" applyAlignment="1">
      <alignment horizontal="left" indent="3"/>
    </xf>
    <xf numFmtId="44" fontId="28" fillId="8" borderId="0" xfId="0" applyNumberFormat="1" applyFont="1" applyFill="1"/>
    <xf numFmtId="0" fontId="21" fillId="0" borderId="29" xfId="0" applyNumberFormat="1" applyFont="1" applyBorder="1"/>
    <xf numFmtId="0" fontId="0" fillId="0" borderId="29" xfId="0" applyBorder="1"/>
    <xf numFmtId="0" fontId="21" fillId="0" borderId="29" xfId="6" applyNumberFormat="1" applyFont="1" applyBorder="1"/>
    <xf numFmtId="44" fontId="0" fillId="8" borderId="0" xfId="6" applyFont="1" applyFill="1"/>
    <xf numFmtId="0" fontId="2" fillId="8" borderId="0" xfId="0" applyFont="1" applyFill="1"/>
    <xf numFmtId="43" fontId="0" fillId="0" borderId="35" xfId="7" applyFont="1" applyBorder="1"/>
    <xf numFmtId="44" fontId="0" fillId="0" borderId="35" xfId="6" applyFont="1" applyBorder="1"/>
    <xf numFmtId="9" fontId="0" fillId="0" borderId="35" xfId="7" applyNumberFormat="1" applyFont="1" applyBorder="1"/>
    <xf numFmtId="44" fontId="0" fillId="0" borderId="34" xfId="6" applyFont="1" applyBorder="1"/>
    <xf numFmtId="9" fontId="0" fillId="0" borderId="0" xfId="7" applyNumberFormat="1" applyFont="1" applyBorder="1"/>
    <xf numFmtId="0" fontId="28" fillId="10" borderId="0" xfId="0" applyFont="1" applyFill="1" applyAlignment="1">
      <alignment horizontal="right"/>
    </xf>
    <xf numFmtId="0" fontId="0" fillId="10" borderId="0" xfId="0" applyFill="1"/>
    <xf numFmtId="44" fontId="28" fillId="10" borderId="0" xfId="0" applyNumberFormat="1" applyFont="1" applyFill="1"/>
    <xf numFmtId="0" fontId="24" fillId="0" borderId="0" xfId="0" applyFont="1"/>
    <xf numFmtId="0" fontId="0" fillId="8" borderId="0" xfId="0" applyFill="1" applyBorder="1"/>
    <xf numFmtId="166" fontId="0" fillId="8" borderId="0" xfId="0" applyNumberFormat="1" applyFill="1" applyBorder="1"/>
    <xf numFmtId="0" fontId="0" fillId="0" borderId="0" xfId="0" applyAlignment="1">
      <alignment wrapText="1"/>
    </xf>
    <xf numFmtId="0" fontId="0" fillId="8" borderId="0" xfId="0" applyFill="1" applyAlignment="1">
      <alignment wrapText="1"/>
    </xf>
    <xf numFmtId="164" fontId="0" fillId="8" borderId="0" xfId="0" applyNumberFormat="1" applyFill="1"/>
    <xf numFmtId="44" fontId="3" fillId="0" borderId="0" xfId="0" applyNumberFormat="1" applyFont="1"/>
    <xf numFmtId="44" fontId="3" fillId="0" borderId="0" xfId="5" applyFont="1"/>
    <xf numFmtId="44" fontId="0" fillId="8" borderId="0" xfId="0" applyNumberFormat="1" applyFill="1" applyBorder="1"/>
    <xf numFmtId="44" fontId="0" fillId="0" borderId="0" xfId="6" applyFont="1" applyBorder="1"/>
    <xf numFmtId="0" fontId="12" fillId="0" borderId="0" xfId="0" applyFont="1" applyBorder="1"/>
    <xf numFmtId="44" fontId="11" fillId="4" borderId="0" xfId="0" applyNumberFormat="1" applyFont="1" applyFill="1"/>
    <xf numFmtId="44" fontId="14" fillId="4" borderId="4" xfId="5" applyFont="1" applyFill="1" applyBorder="1" applyAlignment="1"/>
    <xf numFmtId="44" fontId="14" fillId="4" borderId="0" xfId="5" applyFont="1" applyFill="1" applyBorder="1" applyAlignment="1"/>
    <xf numFmtId="164" fontId="14" fillId="4" borderId="4" xfId="1" applyNumberFormat="1" applyFont="1" applyFill="1" applyBorder="1" applyAlignment="1"/>
    <xf numFmtId="164" fontId="14" fillId="4" borderId="0" xfId="1" applyNumberFormat="1" applyFont="1" applyFill="1" applyBorder="1" applyAlignment="1"/>
    <xf numFmtId="164" fontId="14" fillId="4" borderId="21" xfId="1" applyNumberFormat="1" applyFont="1" applyFill="1" applyBorder="1" applyAlignment="1"/>
    <xf numFmtId="164" fontId="14" fillId="4" borderId="17" xfId="1" applyNumberFormat="1" applyFont="1" applyFill="1" applyBorder="1" applyAlignment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Protection="1">
      <protection hidden="1"/>
    </xf>
    <xf numFmtId="0" fontId="2" fillId="12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31" fillId="11" borderId="8" xfId="0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43" fontId="3" fillId="0" borderId="0" xfId="0" applyNumberFormat="1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29" fillId="0" borderId="0" xfId="4" applyFont="1" applyFill="1" applyBorder="1" applyAlignment="1" applyProtection="1">
      <alignment vertical="center"/>
      <protection hidden="1"/>
    </xf>
    <xf numFmtId="0" fontId="29" fillId="0" borderId="0" xfId="4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44" fontId="1" fillId="0" borderId="0" xfId="5" applyFont="1" applyFill="1" applyBorder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3" fillId="0" borderId="0" xfId="0" applyFont="1" applyProtection="1">
      <protection hidden="1"/>
    </xf>
    <xf numFmtId="44" fontId="3" fillId="0" borderId="0" xfId="5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4" applyFont="1" applyFill="1" applyBorder="1" applyAlignment="1" applyProtection="1">
      <alignment vertical="center" textRotation="90"/>
      <protection hidden="1"/>
    </xf>
    <xf numFmtId="0" fontId="5" fillId="0" borderId="0" xfId="4" applyFont="1" applyFill="1" applyBorder="1" applyAlignment="1" applyProtection="1">
      <alignment horizontal="center" vertical="center" textRotation="90"/>
      <protection hidden="1"/>
    </xf>
    <xf numFmtId="0" fontId="16" fillId="0" borderId="0" xfId="0" applyFont="1" applyBorder="1" applyProtection="1">
      <protection hidden="1"/>
    </xf>
    <xf numFmtId="0" fontId="1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3" fillId="0" borderId="0" xfId="0" applyFont="1" applyFill="1" applyProtection="1">
      <protection hidden="1"/>
    </xf>
    <xf numFmtId="43" fontId="3" fillId="0" borderId="0" xfId="1" applyFo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 vertical="center"/>
      <protection hidden="1"/>
    </xf>
    <xf numFmtId="0" fontId="29" fillId="0" borderId="0" xfId="4" applyFont="1" applyFill="1" applyBorder="1" applyAlignment="1" applyProtection="1">
      <protection hidden="1"/>
    </xf>
    <xf numFmtId="0" fontId="5" fillId="0" borderId="0" xfId="4" applyFont="1" applyFill="1" applyBorder="1" applyAlignment="1" applyProtection="1">
      <alignment horizontal="center" vertical="center"/>
      <protection hidden="1"/>
    </xf>
    <xf numFmtId="0" fontId="0" fillId="12" borderId="0" xfId="0" applyFill="1" applyProtection="1">
      <protection hidden="1"/>
    </xf>
    <xf numFmtId="0" fontId="12" fillId="12" borderId="0" xfId="0" applyFont="1" applyFill="1" applyBorder="1" applyAlignment="1" applyProtection="1">
      <alignment vertical="center"/>
      <protection hidden="1"/>
    </xf>
    <xf numFmtId="0" fontId="33" fillId="4" borderId="8" xfId="0" applyFont="1" applyFill="1" applyBorder="1" applyAlignment="1" applyProtection="1">
      <alignment horizontal="center" vertical="center"/>
      <protection hidden="1"/>
    </xf>
    <xf numFmtId="43" fontId="32" fillId="4" borderId="8" xfId="1" applyFont="1" applyFill="1" applyBorder="1" applyAlignment="1" applyProtection="1">
      <alignment vertical="center"/>
      <protection hidden="1"/>
    </xf>
    <xf numFmtId="0" fontId="18" fillId="13" borderId="8" xfId="0" applyFont="1" applyFill="1" applyBorder="1" applyAlignment="1" applyProtection="1">
      <alignment horizontal="center" vertical="center"/>
      <protection hidden="1"/>
    </xf>
    <xf numFmtId="0" fontId="30" fillId="13" borderId="8" xfId="0" applyFont="1" applyFill="1" applyBorder="1" applyAlignment="1" applyProtection="1">
      <alignment horizontal="center" vertical="center" wrapText="1"/>
      <protection hidden="1"/>
    </xf>
    <xf numFmtId="3" fontId="18" fillId="13" borderId="8" xfId="0" applyNumberFormat="1" applyFont="1" applyFill="1" applyBorder="1" applyAlignment="1" applyProtection="1">
      <alignment horizontal="center" vertical="center"/>
      <protection hidden="1"/>
    </xf>
    <xf numFmtId="3" fontId="4" fillId="13" borderId="8" xfId="0" applyNumberFormat="1" applyFont="1" applyFill="1" applyBorder="1" applyAlignment="1" applyProtection="1">
      <alignment horizontal="center" vertical="center"/>
      <protection hidden="1"/>
    </xf>
    <xf numFmtId="43" fontId="4" fillId="13" borderId="8" xfId="1" applyFont="1" applyFill="1" applyBorder="1" applyAlignment="1" applyProtection="1">
      <alignment vertical="center"/>
      <protection hidden="1"/>
    </xf>
    <xf numFmtId="167" fontId="18" fillId="13" borderId="8" xfId="0" applyNumberFormat="1" applyFont="1" applyFill="1" applyBorder="1" applyAlignment="1" applyProtection="1">
      <alignment horizontal="center" vertical="center"/>
      <protection hidden="1"/>
    </xf>
    <xf numFmtId="3" fontId="18" fillId="0" borderId="8" xfId="0" applyNumberFormat="1" applyFont="1" applyFill="1" applyBorder="1" applyAlignment="1" applyProtection="1">
      <alignment horizontal="center" vertical="center"/>
      <protection locked="0" hidden="1"/>
    </xf>
    <xf numFmtId="43" fontId="18" fillId="0" borderId="8" xfId="1" applyFont="1" applyFill="1" applyBorder="1" applyAlignment="1" applyProtection="1">
      <alignment horizontal="center" vertical="center"/>
      <protection locked="0" hidden="1"/>
    </xf>
    <xf numFmtId="9" fontId="10" fillId="0" borderId="8" xfId="2" applyFont="1" applyFill="1" applyBorder="1" applyAlignment="1" applyProtection="1">
      <alignment horizontal="center" vertical="center"/>
      <protection locked="0" hidden="1"/>
    </xf>
    <xf numFmtId="9" fontId="18" fillId="0" borderId="8" xfId="2" applyFont="1" applyFill="1" applyBorder="1" applyAlignment="1" applyProtection="1">
      <alignment horizontal="center" vertical="center"/>
      <protection locked="0" hidden="1"/>
    </xf>
    <xf numFmtId="167" fontId="18" fillId="0" borderId="8" xfId="0" applyNumberFormat="1" applyFont="1" applyFill="1" applyBorder="1" applyAlignment="1" applyProtection="1">
      <alignment horizontal="center" vertical="center"/>
      <protection locked="0" hidden="1"/>
    </xf>
    <xf numFmtId="0" fontId="36" fillId="15" borderId="8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37" fillId="4" borderId="8" xfId="0" applyFont="1" applyFill="1" applyBorder="1" applyAlignment="1" applyProtection="1">
      <alignment horizontal="center" vertical="center"/>
      <protection hidden="1"/>
    </xf>
    <xf numFmtId="43" fontId="37" fillId="4" borderId="8" xfId="1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8" fillId="0" borderId="0" xfId="0" applyFont="1" applyFill="1" applyProtection="1">
      <protection hidden="1"/>
    </xf>
    <xf numFmtId="0" fontId="0" fillId="12" borderId="0" xfId="0" applyFill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0" fillId="12" borderId="0" xfId="0" applyFill="1" applyAlignment="1">
      <alignment vertical="center" wrapText="1"/>
    </xf>
    <xf numFmtId="0" fontId="0" fillId="12" borderId="0" xfId="0" applyFill="1" applyAlignment="1" applyProtection="1">
      <alignment vertical="center" wrapText="1"/>
      <protection hidden="1"/>
    </xf>
    <xf numFmtId="3" fontId="18" fillId="8" borderId="8" xfId="0" applyNumberFormat="1" applyFont="1" applyFill="1" applyBorder="1" applyAlignment="1" applyProtection="1">
      <alignment horizontal="center" vertical="center"/>
      <protection locked="0" hidden="1"/>
    </xf>
    <xf numFmtId="9" fontId="18" fillId="8" borderId="8" xfId="2" applyFont="1" applyFill="1" applyBorder="1" applyAlignment="1" applyProtection="1">
      <alignment horizontal="center" vertical="center"/>
      <protection hidden="1"/>
    </xf>
    <xf numFmtId="4" fontId="18" fillId="8" borderId="8" xfId="0" applyNumberFormat="1" applyFont="1" applyFill="1" applyBorder="1" applyAlignment="1" applyProtection="1">
      <alignment horizontal="center" vertical="center"/>
      <protection locked="0" hidden="1"/>
    </xf>
    <xf numFmtId="44" fontId="27" fillId="3" borderId="0" xfId="0" applyNumberFormat="1" applyFont="1" applyFill="1"/>
    <xf numFmtId="44" fontId="0" fillId="3" borderId="0" xfId="6" applyFont="1" applyFill="1"/>
    <xf numFmtId="0" fontId="0" fillId="4" borderId="0" xfId="0" applyFill="1"/>
    <xf numFmtId="44" fontId="0" fillId="4" borderId="0" xfId="0" applyNumberFormat="1" applyFill="1"/>
    <xf numFmtId="0" fontId="0" fillId="12" borderId="0" xfId="0" applyFill="1" applyAlignment="1">
      <alignment vertical="center" wrapText="1"/>
    </xf>
    <xf numFmtId="0" fontId="33" fillId="14" borderId="39" xfId="0" applyFont="1" applyFill="1" applyBorder="1" applyAlignment="1" applyProtection="1">
      <alignment horizontal="center" vertical="center"/>
      <protection hidden="1"/>
    </xf>
    <xf numFmtId="0" fontId="33" fillId="14" borderId="40" xfId="0" applyFont="1" applyFill="1" applyBorder="1" applyAlignment="1" applyProtection="1">
      <alignment horizontal="center" vertical="center"/>
      <protection hidden="1"/>
    </xf>
    <xf numFmtId="0" fontId="33" fillId="14" borderId="41" xfId="0" applyFont="1" applyFill="1" applyBorder="1" applyAlignment="1" applyProtection="1">
      <alignment horizontal="center" vertical="center"/>
      <protection hidden="1"/>
    </xf>
    <xf numFmtId="0" fontId="33" fillId="14" borderId="36" xfId="0" applyFont="1" applyFill="1" applyBorder="1" applyAlignment="1" applyProtection="1">
      <alignment horizontal="center" vertical="center"/>
      <protection hidden="1"/>
    </xf>
    <xf numFmtId="0" fontId="33" fillId="14" borderId="37" xfId="0" applyFont="1" applyFill="1" applyBorder="1" applyAlignment="1" applyProtection="1">
      <alignment horizontal="center" vertical="center"/>
      <protection hidden="1"/>
    </xf>
    <xf numFmtId="0" fontId="33" fillId="14" borderId="38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 wrapText="1"/>
    </xf>
    <xf numFmtId="0" fontId="5" fillId="2" borderId="13" xfId="4" applyFont="1" applyBorder="1" applyAlignment="1">
      <alignment horizontal="center" vertical="center" textRotation="90" wrapText="1"/>
    </xf>
    <xf numFmtId="0" fontId="5" fillId="2" borderId="13" xfId="4" applyFont="1" applyBorder="1" applyAlignment="1">
      <alignment horizontal="center" vertical="center"/>
    </xf>
    <xf numFmtId="0" fontId="5" fillId="2" borderId="2" xfId="4" applyFont="1" applyAlignment="1">
      <alignment horizontal="center" vertical="center" textRotation="90"/>
    </xf>
    <xf numFmtId="0" fontId="19" fillId="6" borderId="0" xfId="0" applyFont="1" applyFill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</cellXfs>
  <cellStyles count="8">
    <cellStyle name="Celda de comprobación" xfId="4" builtinId="23"/>
    <cellStyle name="Comma 2" xfId="7"/>
    <cellStyle name="Currency 2" xfId="6"/>
    <cellStyle name="Millares" xfId="1" builtinId="3"/>
    <cellStyle name="Moneda" xfId="5" builtinId="4"/>
    <cellStyle name="Normal" xfId="0" builtinId="0"/>
    <cellStyle name="Porcentaje" xfId="2" builtinId="5"/>
    <cellStyle name="Total" xfId="3" builtinId="25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Drop" dropLines="5" dropStyle="combo" dx="16" fmlaLink="J6" fmlaRange="C12:D16" noThreeD="1" sel="1" val="0"/>
</file>

<file path=xl/ctrlProps/ctrlProp2.xml><?xml version="1.0" encoding="utf-8"?>
<formControlPr xmlns="http://schemas.microsoft.com/office/spreadsheetml/2009/9/main" objectType="Drop" dropStyle="combo" dx="16" fmlaLink="J7" fmlaRange="$B$20:$B$23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A9A0F.DA77ED40" TargetMode="External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1</xdr:row>
      <xdr:rowOff>9525</xdr:rowOff>
    </xdr:from>
    <xdr:to>
      <xdr:col>5</xdr:col>
      <xdr:colOff>599733</xdr:colOff>
      <xdr:row>4</xdr:row>
      <xdr:rowOff>85625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200025"/>
          <a:ext cx="2714283" cy="647600"/>
        </a:xfrm>
        <a:prstGeom prst="rect">
          <a:avLst/>
        </a:prstGeom>
      </xdr:spPr>
    </xdr:pic>
    <xdr:clientData/>
  </xdr:twoCellAnchor>
  <xdr:twoCellAnchor editAs="oneCell">
    <xdr:from>
      <xdr:col>9</xdr:col>
      <xdr:colOff>581025</xdr:colOff>
      <xdr:row>1</xdr:row>
      <xdr:rowOff>57149</xdr:rowOff>
    </xdr:from>
    <xdr:to>
      <xdr:col>12</xdr:col>
      <xdr:colOff>104775</xdr:colOff>
      <xdr:row>4</xdr:row>
      <xdr:rowOff>161924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247649"/>
          <a:ext cx="2667000" cy="6762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361950</xdr:colOff>
          <xdr:row>68</xdr:row>
          <xdr:rowOff>57150</xdr:rowOff>
        </xdr:from>
        <xdr:to>
          <xdr:col>3</xdr:col>
          <xdr:colOff>2000250</xdr:colOff>
          <xdr:row>72</xdr:row>
          <xdr:rowOff>152400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37351</xdr:colOff>
      <xdr:row>0</xdr:row>
      <xdr:rowOff>46690</xdr:rowOff>
    </xdr:from>
    <xdr:to>
      <xdr:col>1</xdr:col>
      <xdr:colOff>3539191</xdr:colOff>
      <xdr:row>1</xdr:row>
      <xdr:rowOff>13245</xdr:rowOff>
    </xdr:to>
    <xdr:pic>
      <xdr:nvPicPr>
        <xdr:cNvPr id="2" name="1 Imagen" descr="http://www.encontacto.mx/wp-content/uploads/2014/12/SHCP.g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656" b="27211"/>
        <a:stretch/>
      </xdr:blipFill>
      <xdr:spPr bwMode="auto">
        <a:xfrm>
          <a:off x="799351" y="46690"/>
          <a:ext cx="3501840" cy="1014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1</xdr:col>
      <xdr:colOff>1562100</xdr:colOff>
      <xdr:row>1</xdr:row>
      <xdr:rowOff>361950</xdr:rowOff>
    </xdr:to>
    <xdr:pic>
      <xdr:nvPicPr>
        <xdr:cNvPr id="2" name="Imagen 1" descr="cid:image003.jpg@01C7FADB.A369F3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66725" y="85725"/>
          <a:ext cx="15430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9</xdr:col>
          <xdr:colOff>1152525</xdr:colOff>
          <xdr:row>6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0</xdr:rowOff>
        </xdr:from>
        <xdr:to>
          <xdr:col>9</xdr:col>
          <xdr:colOff>1152525</xdr:colOff>
          <xdr:row>7</xdr:row>
          <xdr:rowOff>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B1:R125"/>
  <sheetViews>
    <sheetView showGridLines="0" tabSelected="1" zoomScaleNormal="100" workbookViewId="0">
      <pane ySplit="6" topLeftCell="A7" activePane="bottomLeft" state="frozen"/>
      <selection pane="bottomLeft" activeCell="F55" sqref="F55"/>
    </sheetView>
  </sheetViews>
  <sheetFormatPr baseColWidth="10" defaultColWidth="9.140625" defaultRowHeight="15" x14ac:dyDescent="0.25"/>
  <cols>
    <col min="1" max="1" width="9.140625" style="135"/>
    <col min="2" max="2" width="7.7109375" style="135" customWidth="1"/>
    <col min="3" max="3" width="3.7109375" style="134" customWidth="1"/>
    <col min="4" max="4" width="30.7109375" style="135" customWidth="1"/>
    <col min="5" max="5" width="2.7109375" style="135" customWidth="1"/>
    <col min="6" max="6" width="20.7109375" style="135" customWidth="1"/>
    <col min="7" max="7" width="3.7109375" style="135" customWidth="1"/>
    <col min="8" max="8" width="12.7109375" style="135" customWidth="1"/>
    <col min="9" max="9" width="3.7109375" style="135" customWidth="1"/>
    <col min="10" max="10" width="12.7109375" style="135" customWidth="1"/>
    <col min="11" max="11" width="3.7109375" style="135" customWidth="1"/>
    <col min="12" max="12" width="30.7109375" style="135" customWidth="1"/>
    <col min="13" max="13" width="2.7109375" style="135" customWidth="1"/>
    <col min="14" max="14" width="20.7109375" style="135" customWidth="1"/>
    <col min="15" max="15" width="2.7109375" style="135" customWidth="1"/>
    <col min="16" max="16" width="12.7109375" style="135" customWidth="1"/>
    <col min="17" max="17" width="3.7109375" style="135" customWidth="1"/>
    <col min="18" max="18" width="12.7109375" style="135" customWidth="1"/>
    <col min="19" max="16384" width="9.140625" style="135"/>
  </cols>
  <sheetData>
    <row r="1" spans="2:16" x14ac:dyDescent="0.25">
      <c r="B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2:16" x14ac:dyDescent="0.25">
      <c r="B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16" x14ac:dyDescent="0.25">
      <c r="B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2:16" x14ac:dyDescent="0.25">
      <c r="B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2:16" x14ac:dyDescent="0.25">
      <c r="B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2:16" x14ac:dyDescent="0.25">
      <c r="B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2:16" ht="15.75" thickBot="1" x14ac:dyDescent="0.3">
      <c r="B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2:16" ht="39.950000000000003" customHeight="1" thickTop="1" thickBot="1" x14ac:dyDescent="0.3">
      <c r="B8" s="134"/>
      <c r="D8" s="207" t="s">
        <v>151</v>
      </c>
      <c r="E8" s="208"/>
      <c r="F8" s="209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2:16" ht="15.75" thickTop="1" x14ac:dyDescent="0.25"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2:16" ht="39.950000000000003" customHeight="1" x14ac:dyDescent="0.25">
      <c r="B10" s="134"/>
      <c r="D10" s="136" t="s">
        <v>152</v>
      </c>
      <c r="E10" s="137"/>
      <c r="F10" s="137"/>
      <c r="G10" s="134"/>
      <c r="H10" s="134"/>
      <c r="I10" s="134"/>
      <c r="J10" s="134"/>
      <c r="K10" s="134"/>
      <c r="L10" s="136" t="s">
        <v>153</v>
      </c>
      <c r="M10" s="137"/>
      <c r="N10" s="137"/>
      <c r="O10" s="137"/>
      <c r="P10" s="137"/>
    </row>
    <row r="11" spans="2:16" x14ac:dyDescent="0.25">
      <c r="B11" s="134"/>
      <c r="D11" s="138"/>
      <c r="E11" s="134"/>
      <c r="F11" s="134"/>
      <c r="G11" s="134"/>
      <c r="H11" s="134"/>
      <c r="I11" s="134"/>
      <c r="J11" s="134"/>
      <c r="K11" s="134"/>
      <c r="L11" s="138"/>
      <c r="M11" s="134"/>
      <c r="N11" s="134"/>
      <c r="O11" s="134"/>
      <c r="P11" s="134"/>
    </row>
    <row r="12" spans="2:16" x14ac:dyDescent="0.25">
      <c r="B12" s="134"/>
      <c r="E12" s="134"/>
      <c r="F12" s="139" t="s">
        <v>149</v>
      </c>
      <c r="G12" s="134"/>
      <c r="H12" s="134"/>
      <c r="I12" s="134"/>
      <c r="J12" s="134"/>
      <c r="K12" s="134"/>
      <c r="L12" s="134"/>
      <c r="M12" s="134"/>
      <c r="N12" s="139" t="s">
        <v>149</v>
      </c>
      <c r="O12" s="134"/>
      <c r="P12" s="139" t="s">
        <v>150</v>
      </c>
    </row>
    <row r="13" spans="2:16" ht="15" customHeight="1" x14ac:dyDescent="0.25">
      <c r="B13" s="134"/>
      <c r="D13" s="134"/>
      <c r="E13" s="134"/>
      <c r="F13" s="140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2:16" ht="39.950000000000003" customHeight="1" x14ac:dyDescent="0.25">
      <c r="B14" s="141"/>
      <c r="C14" s="142"/>
      <c r="D14" s="143" t="s">
        <v>161</v>
      </c>
      <c r="E14" s="144"/>
      <c r="F14" s="199">
        <v>1812</v>
      </c>
      <c r="H14" s="186" t="s">
        <v>189</v>
      </c>
      <c r="L14" s="143" t="s">
        <v>163</v>
      </c>
      <c r="M14" s="134"/>
      <c r="N14" s="182">
        <v>0.05</v>
      </c>
      <c r="O14" s="134"/>
      <c r="P14" s="183">
        <v>0.25</v>
      </c>
    </row>
    <row r="15" spans="2:16" ht="15" customHeight="1" x14ac:dyDescent="0.25">
      <c r="B15" s="141"/>
      <c r="C15" s="142"/>
      <c r="D15" s="145"/>
      <c r="E15" s="146"/>
      <c r="F15" s="147"/>
      <c r="L15" s="148"/>
      <c r="M15" s="134"/>
      <c r="N15" s="148"/>
      <c r="O15" s="134"/>
      <c r="P15" s="134"/>
    </row>
    <row r="16" spans="2:16" ht="39.950000000000003" customHeight="1" x14ac:dyDescent="0.25">
      <c r="B16" s="141"/>
      <c r="C16" s="142"/>
      <c r="D16" s="143" t="s">
        <v>162</v>
      </c>
      <c r="E16" s="144"/>
      <c r="F16" s="181">
        <v>5</v>
      </c>
      <c r="L16" s="143" t="s">
        <v>164</v>
      </c>
      <c r="M16" s="134"/>
      <c r="N16" s="182">
        <v>0.05</v>
      </c>
      <c r="O16" s="134"/>
      <c r="P16" s="183">
        <v>0.75</v>
      </c>
    </row>
    <row r="17" spans="2:17" x14ac:dyDescent="0.25">
      <c r="B17" s="134"/>
      <c r="D17" s="134"/>
      <c r="E17" s="134"/>
      <c r="F17" s="148"/>
      <c r="G17" s="148"/>
      <c r="H17" s="148"/>
      <c r="I17" s="148"/>
      <c r="J17" s="148"/>
      <c r="K17" s="148"/>
      <c r="L17" s="148"/>
      <c r="M17" s="134"/>
      <c r="N17" s="134"/>
      <c r="O17" s="134"/>
      <c r="P17" s="134"/>
    </row>
    <row r="18" spans="2:17" ht="15.75" thickBot="1" x14ac:dyDescent="0.3">
      <c r="B18" s="134"/>
      <c r="D18" s="134"/>
      <c r="E18" s="134"/>
      <c r="F18" s="148"/>
      <c r="G18" s="148"/>
      <c r="H18" s="148"/>
      <c r="I18" s="148"/>
      <c r="J18" s="148"/>
      <c r="K18" s="148"/>
      <c r="L18" s="148"/>
      <c r="M18" s="134"/>
      <c r="N18" s="134"/>
      <c r="O18" s="134"/>
      <c r="P18" s="134"/>
    </row>
    <row r="19" spans="2:17" ht="39.950000000000003" customHeight="1" thickTop="1" thickBot="1" x14ac:dyDescent="0.3">
      <c r="B19" s="134"/>
      <c r="D19" s="210" t="s">
        <v>0</v>
      </c>
      <c r="E19" s="211"/>
      <c r="F19" s="211"/>
      <c r="G19" s="211"/>
      <c r="H19" s="211"/>
      <c r="I19" s="212"/>
      <c r="J19" s="187"/>
      <c r="K19" s="187"/>
      <c r="L19" s="148"/>
      <c r="M19" s="134"/>
      <c r="N19" s="134"/>
      <c r="O19" s="134"/>
      <c r="P19" s="134"/>
    </row>
    <row r="20" spans="2:17" ht="15.75" thickTop="1" x14ac:dyDescent="0.25">
      <c r="B20" s="134"/>
      <c r="D20" s="134"/>
      <c r="E20" s="134"/>
      <c r="F20" s="148"/>
      <c r="G20" s="148"/>
      <c r="H20" s="148"/>
      <c r="I20" s="148"/>
      <c r="J20" s="148"/>
      <c r="K20" s="148"/>
      <c r="L20" s="148"/>
      <c r="M20" s="134"/>
      <c r="N20" s="134"/>
      <c r="O20" s="134"/>
      <c r="P20" s="134"/>
    </row>
    <row r="21" spans="2:17" ht="39.950000000000003" customHeight="1" x14ac:dyDescent="0.25">
      <c r="B21" s="134"/>
      <c r="D21" s="149" t="s">
        <v>154</v>
      </c>
      <c r="E21" s="134"/>
      <c r="F21" s="148"/>
      <c r="G21" s="148"/>
      <c r="H21" s="148"/>
      <c r="I21" s="148"/>
      <c r="J21" s="148"/>
      <c r="K21" s="148"/>
      <c r="L21" s="149" t="s">
        <v>155</v>
      </c>
      <c r="M21" s="134"/>
      <c r="N21" s="134"/>
      <c r="O21" s="134"/>
      <c r="P21" s="134"/>
    </row>
    <row r="22" spans="2:17" x14ac:dyDescent="0.25">
      <c r="B22" s="134"/>
      <c r="D22" s="138"/>
      <c r="E22" s="134"/>
      <c r="F22" s="148"/>
      <c r="G22" s="148"/>
      <c r="H22" s="148"/>
      <c r="I22" s="148"/>
      <c r="J22" s="148"/>
      <c r="K22" s="148"/>
      <c r="L22" s="138"/>
      <c r="M22" s="134"/>
      <c r="N22" s="134"/>
      <c r="O22" s="134"/>
      <c r="P22" s="134"/>
    </row>
    <row r="23" spans="2:17" x14ac:dyDescent="0.25">
      <c r="B23" s="134"/>
      <c r="D23" s="138"/>
      <c r="E23" s="134"/>
      <c r="F23" s="139" t="s">
        <v>150</v>
      </c>
      <c r="G23" s="148"/>
      <c r="H23" s="139" t="s">
        <v>65</v>
      </c>
      <c r="I23" s="148"/>
      <c r="J23" s="148"/>
      <c r="K23" s="148"/>
      <c r="M23" s="134"/>
      <c r="N23" s="139" t="s">
        <v>65</v>
      </c>
      <c r="O23" s="134"/>
      <c r="P23" s="134"/>
    </row>
    <row r="24" spans="2:17" x14ac:dyDescent="0.25">
      <c r="B24" s="150"/>
      <c r="C24" s="151"/>
      <c r="D24" s="152"/>
      <c r="E24" s="153"/>
      <c r="F24" s="154"/>
      <c r="G24" s="152"/>
      <c r="I24" s="152"/>
      <c r="J24" s="152"/>
      <c r="K24" s="152"/>
      <c r="M24" s="152"/>
      <c r="N24" s="152"/>
      <c r="O24" s="134"/>
      <c r="P24" s="134"/>
    </row>
    <row r="25" spans="2:17" ht="39.950000000000003" customHeight="1" x14ac:dyDescent="0.25">
      <c r="B25" s="150"/>
      <c r="C25" s="151"/>
      <c r="D25" s="143" t="s">
        <v>165</v>
      </c>
      <c r="E25" s="155"/>
      <c r="F25" s="184">
        <v>0.35</v>
      </c>
      <c r="G25" s="152"/>
      <c r="H25" s="199">
        <v>2</v>
      </c>
      <c r="I25" s="152"/>
      <c r="J25" s="186" t="s">
        <v>189</v>
      </c>
      <c r="K25" s="152"/>
      <c r="L25" s="143" t="s">
        <v>173</v>
      </c>
      <c r="M25" s="156"/>
      <c r="N25" s="201">
        <v>0.01</v>
      </c>
      <c r="O25" s="157"/>
      <c r="P25" s="186" t="s">
        <v>189</v>
      </c>
      <c r="Q25" s="157"/>
    </row>
    <row r="26" spans="2:17" x14ac:dyDescent="0.25">
      <c r="B26" s="150"/>
      <c r="C26" s="151"/>
      <c r="D26" s="152"/>
      <c r="E26" s="153"/>
      <c r="F26" s="158"/>
      <c r="G26" s="152"/>
      <c r="I26" s="152"/>
      <c r="J26" s="152"/>
      <c r="K26" s="152"/>
    </row>
    <row r="27" spans="2:17" ht="39.950000000000003" customHeight="1" x14ac:dyDescent="0.25">
      <c r="B27" s="150"/>
      <c r="C27" s="151"/>
      <c r="D27" s="143" t="s">
        <v>166</v>
      </c>
      <c r="E27" s="155"/>
      <c r="F27" s="184">
        <v>0.25</v>
      </c>
      <c r="G27" s="152"/>
      <c r="H27" s="199">
        <v>6</v>
      </c>
      <c r="I27" s="152"/>
      <c r="J27" s="186" t="s">
        <v>189</v>
      </c>
      <c r="K27" s="152"/>
      <c r="L27" s="143" t="s">
        <v>168</v>
      </c>
      <c r="M27" s="156"/>
      <c r="N27" s="199">
        <v>2</v>
      </c>
      <c r="O27" s="157"/>
      <c r="P27" s="186" t="s">
        <v>189</v>
      </c>
      <c r="Q27" s="157"/>
    </row>
    <row r="28" spans="2:17" x14ac:dyDescent="0.25">
      <c r="B28" s="150"/>
      <c r="C28" s="151"/>
      <c r="D28" s="152"/>
      <c r="E28" s="153"/>
      <c r="F28" s="158"/>
      <c r="G28" s="152"/>
      <c r="I28" s="152"/>
      <c r="J28" s="152"/>
      <c r="K28" s="152"/>
    </row>
    <row r="29" spans="2:17" ht="39.950000000000003" customHeight="1" x14ac:dyDescent="0.25">
      <c r="B29" s="150"/>
      <c r="C29" s="151"/>
      <c r="D29" s="143" t="s">
        <v>172</v>
      </c>
      <c r="E29" s="155"/>
      <c r="F29" s="184">
        <v>0.1</v>
      </c>
      <c r="G29" s="152"/>
      <c r="H29" s="199">
        <v>2</v>
      </c>
      <c r="I29" s="152"/>
      <c r="J29" s="186" t="s">
        <v>189</v>
      </c>
      <c r="K29" s="152"/>
      <c r="L29" s="143" t="s">
        <v>169</v>
      </c>
      <c r="M29" s="156"/>
      <c r="N29" s="199">
        <v>1</v>
      </c>
      <c r="O29" s="157"/>
      <c r="P29" s="186" t="s">
        <v>189</v>
      </c>
      <c r="Q29" s="157"/>
    </row>
    <row r="30" spans="2:17" x14ac:dyDescent="0.25">
      <c r="B30" s="150"/>
      <c r="C30" s="151"/>
      <c r="D30" s="152"/>
      <c r="E30" s="153"/>
      <c r="F30" s="158"/>
      <c r="G30" s="152"/>
      <c r="I30" s="152"/>
      <c r="J30" s="152"/>
      <c r="K30" s="152"/>
    </row>
    <row r="31" spans="2:17" ht="39.950000000000003" customHeight="1" x14ac:dyDescent="0.25">
      <c r="B31" s="150"/>
      <c r="C31" s="151"/>
      <c r="D31" s="143" t="s">
        <v>167</v>
      </c>
      <c r="E31" s="155"/>
      <c r="F31" s="184">
        <v>0.3</v>
      </c>
      <c r="G31" s="152"/>
      <c r="H31" s="199">
        <v>48</v>
      </c>
      <c r="I31" s="152"/>
      <c r="J31" s="186" t="s">
        <v>189</v>
      </c>
      <c r="K31" s="152"/>
      <c r="L31" s="143" t="s">
        <v>170</v>
      </c>
      <c r="M31" s="156"/>
      <c r="N31" s="199">
        <v>1</v>
      </c>
      <c r="O31" s="157"/>
      <c r="P31" s="186" t="s">
        <v>189</v>
      </c>
      <c r="Q31" s="157"/>
    </row>
    <row r="32" spans="2:17" x14ac:dyDescent="0.25">
      <c r="B32" s="134"/>
      <c r="D32" s="134"/>
      <c r="E32" s="134"/>
      <c r="F32" s="134"/>
      <c r="G32" s="134"/>
      <c r="H32" s="134"/>
      <c r="I32" s="134"/>
      <c r="J32" s="134"/>
      <c r="K32" s="134"/>
    </row>
    <row r="33" spans="2:18" ht="39.950000000000003" customHeight="1" x14ac:dyDescent="0.25">
      <c r="C33" s="159"/>
      <c r="D33" s="143" t="s">
        <v>158</v>
      </c>
      <c r="E33" s="134"/>
      <c r="F33" s="200">
        <f>IF(F25+F27+F29+F31&lt;&gt;100%,"Revisar Valores",F25+F27+F29+F31)</f>
        <v>1</v>
      </c>
      <c r="G33" s="134"/>
      <c r="H33" s="134"/>
      <c r="I33" s="134"/>
      <c r="J33" s="186" t="s">
        <v>189</v>
      </c>
      <c r="K33" s="134"/>
      <c r="L33" s="143" t="s">
        <v>171</v>
      </c>
      <c r="M33" s="156"/>
      <c r="N33" s="199">
        <v>1</v>
      </c>
      <c r="O33" s="157"/>
      <c r="P33" s="186" t="s">
        <v>189</v>
      </c>
      <c r="Q33" s="157"/>
    </row>
    <row r="34" spans="2:18" ht="15.75" thickBot="1" x14ac:dyDescent="0.3">
      <c r="B34" s="134"/>
      <c r="D34" s="134"/>
      <c r="E34" s="134"/>
      <c r="F34" s="134"/>
      <c r="G34" s="134"/>
      <c r="H34" s="134"/>
      <c r="I34" s="134"/>
      <c r="J34" s="134"/>
      <c r="K34" s="134"/>
      <c r="M34" s="134"/>
      <c r="N34" s="134"/>
      <c r="O34" s="134"/>
      <c r="P34" s="134"/>
    </row>
    <row r="35" spans="2:18" ht="39.950000000000003" customHeight="1" thickTop="1" thickBot="1" x14ac:dyDescent="0.3">
      <c r="B35" s="160"/>
      <c r="C35" s="161"/>
      <c r="D35" s="210" t="s">
        <v>160</v>
      </c>
      <c r="E35" s="211"/>
      <c r="F35" s="211"/>
      <c r="G35" s="211"/>
      <c r="H35" s="211"/>
      <c r="I35" s="212"/>
      <c r="J35" s="187"/>
      <c r="K35" s="187"/>
      <c r="M35" s="134"/>
      <c r="N35" s="134"/>
      <c r="O35" s="134"/>
      <c r="P35" s="134"/>
    </row>
    <row r="36" spans="2:18" ht="15.75" thickTop="1" x14ac:dyDescent="0.25">
      <c r="B36" s="160"/>
      <c r="C36" s="161"/>
      <c r="M36" s="134"/>
      <c r="N36" s="134"/>
      <c r="O36" s="134"/>
      <c r="P36" s="134"/>
    </row>
    <row r="37" spans="2:18" ht="39.950000000000003" customHeight="1" x14ac:dyDescent="0.25">
      <c r="B37" s="160"/>
      <c r="C37" s="161"/>
      <c r="D37" s="149" t="s">
        <v>28</v>
      </c>
      <c r="L37" s="149" t="s">
        <v>29</v>
      </c>
      <c r="O37" s="134"/>
      <c r="P37" s="134"/>
    </row>
    <row r="38" spans="2:18" ht="15" customHeight="1" x14ac:dyDescent="0.25">
      <c r="B38" s="160"/>
      <c r="C38" s="161"/>
      <c r="D38" s="149"/>
      <c r="F38" s="139" t="s">
        <v>159</v>
      </c>
      <c r="L38" s="149"/>
      <c r="N38" s="139" t="s">
        <v>159</v>
      </c>
      <c r="O38" s="134"/>
      <c r="P38" s="134"/>
    </row>
    <row r="39" spans="2:18" x14ac:dyDescent="0.25">
      <c r="B39" s="160"/>
      <c r="C39" s="161"/>
    </row>
    <row r="40" spans="2:18" ht="39.950000000000003" customHeight="1" x14ac:dyDescent="0.25">
      <c r="B40" s="134"/>
      <c r="D40" s="143" t="s">
        <v>174</v>
      </c>
      <c r="E40" s="162"/>
      <c r="F40" s="181">
        <v>8000</v>
      </c>
      <c r="L40" s="143" t="s">
        <v>178</v>
      </c>
      <c r="M40" s="163"/>
      <c r="N40" s="181">
        <v>12000</v>
      </c>
      <c r="O40" s="134"/>
      <c r="P40" s="146"/>
      <c r="Q40" s="163"/>
      <c r="R40" s="147"/>
    </row>
    <row r="41" spans="2:18" x14ac:dyDescent="0.25">
      <c r="B41" s="134"/>
      <c r="E41" s="164"/>
      <c r="M41" s="164"/>
    </row>
    <row r="42" spans="2:18" ht="39.950000000000003" customHeight="1" x14ac:dyDescent="0.25">
      <c r="B42" s="134"/>
      <c r="D42" s="143" t="s">
        <v>175</v>
      </c>
      <c r="E42" s="162"/>
      <c r="F42" s="181">
        <v>20</v>
      </c>
      <c r="G42" s="134"/>
      <c r="H42" s="134"/>
      <c r="I42" s="134"/>
      <c r="J42" s="134"/>
      <c r="K42" s="134"/>
      <c r="L42" s="143" t="s">
        <v>179</v>
      </c>
      <c r="M42" s="163"/>
      <c r="N42" s="201">
        <v>2.2000000000000002</v>
      </c>
      <c r="P42" s="186" t="s">
        <v>189</v>
      </c>
    </row>
    <row r="43" spans="2:18" x14ac:dyDescent="0.25">
      <c r="B43" s="134"/>
      <c r="E43" s="164"/>
      <c r="M43" s="164"/>
    </row>
    <row r="44" spans="2:18" ht="39.950000000000003" customHeight="1" x14ac:dyDescent="0.25">
      <c r="B44" s="134"/>
      <c r="D44" s="143" t="s">
        <v>176</v>
      </c>
      <c r="E44" s="162"/>
      <c r="F44" s="199">
        <v>20</v>
      </c>
      <c r="H44" s="186" t="s">
        <v>189</v>
      </c>
      <c r="L44" s="143" t="s">
        <v>180</v>
      </c>
      <c r="M44" s="163"/>
      <c r="N44" s="199">
        <v>5</v>
      </c>
      <c r="P44" s="186" t="s">
        <v>189</v>
      </c>
    </row>
    <row r="45" spans="2:18" x14ac:dyDescent="0.25">
      <c r="B45" s="134"/>
      <c r="E45" s="164"/>
      <c r="M45" s="164"/>
    </row>
    <row r="46" spans="2:18" ht="39.950000000000003" customHeight="1" x14ac:dyDescent="0.25">
      <c r="B46" s="134"/>
      <c r="D46" s="143" t="s">
        <v>177</v>
      </c>
      <c r="E46" s="162"/>
      <c r="F46" s="199">
        <v>8</v>
      </c>
      <c r="H46" s="186" t="s">
        <v>189</v>
      </c>
      <c r="L46" s="143" t="s">
        <v>181</v>
      </c>
      <c r="M46" s="163"/>
      <c r="N46" s="199">
        <v>4</v>
      </c>
      <c r="P46" s="186" t="s">
        <v>189</v>
      </c>
    </row>
    <row r="47" spans="2:18" x14ac:dyDescent="0.25">
      <c r="B47" s="157"/>
      <c r="C47" s="165"/>
      <c r="D47" s="157"/>
      <c r="E47" s="157"/>
      <c r="F47" s="166"/>
      <c r="G47" s="134"/>
      <c r="H47" s="134"/>
      <c r="I47" s="134"/>
      <c r="J47" s="134"/>
      <c r="K47" s="134"/>
    </row>
    <row r="48" spans="2:18" ht="39.950000000000003" customHeight="1" x14ac:dyDescent="0.25">
      <c r="B48" s="134"/>
      <c r="D48" s="134"/>
      <c r="E48" s="134"/>
      <c r="F48" s="134"/>
      <c r="G48" s="134"/>
      <c r="H48" s="134"/>
      <c r="I48" s="134"/>
      <c r="J48" s="134"/>
      <c r="K48" s="134"/>
      <c r="L48" s="149" t="s">
        <v>156</v>
      </c>
    </row>
    <row r="49" spans="2:14" x14ac:dyDescent="0.25">
      <c r="B49" s="134"/>
      <c r="D49" s="134"/>
      <c r="E49" s="134"/>
      <c r="F49" s="134"/>
      <c r="G49" s="134"/>
      <c r="H49" s="134"/>
      <c r="I49" s="134"/>
      <c r="J49" s="134"/>
      <c r="K49" s="134"/>
    </row>
    <row r="50" spans="2:14" ht="39.950000000000003" customHeight="1" x14ac:dyDescent="0.25">
      <c r="B50" s="134"/>
      <c r="D50" s="134"/>
      <c r="E50" s="134"/>
      <c r="F50" s="134"/>
      <c r="G50" s="134"/>
      <c r="H50" s="134"/>
      <c r="I50" s="134"/>
      <c r="J50" s="134"/>
      <c r="K50" s="134"/>
      <c r="L50" s="143" t="s">
        <v>182</v>
      </c>
      <c r="N50" s="181">
        <v>15</v>
      </c>
    </row>
    <row r="51" spans="2:14" x14ac:dyDescent="0.25">
      <c r="B51" s="134"/>
      <c r="D51" s="134"/>
      <c r="E51" s="134"/>
      <c r="F51" s="134"/>
      <c r="G51" s="134"/>
      <c r="H51" s="134"/>
      <c r="I51" s="134"/>
      <c r="J51" s="134"/>
      <c r="K51" s="134"/>
    </row>
    <row r="52" spans="2:14" ht="39.950000000000003" customHeight="1" x14ac:dyDescent="0.25">
      <c r="B52" s="134"/>
      <c r="D52" s="149" t="s">
        <v>148</v>
      </c>
      <c r="F52" s="134"/>
      <c r="G52" s="134"/>
      <c r="H52" s="134"/>
      <c r="I52" s="134"/>
      <c r="J52" s="134"/>
      <c r="K52" s="134"/>
    </row>
    <row r="53" spans="2:14" x14ac:dyDescent="0.25">
      <c r="D53" s="134"/>
      <c r="E53" s="134"/>
      <c r="F53" s="139" t="s">
        <v>159</v>
      </c>
      <c r="G53" s="134"/>
      <c r="H53" s="134"/>
      <c r="I53" s="134"/>
      <c r="J53" s="134"/>
      <c r="K53" s="134"/>
      <c r="N53" s="139" t="s">
        <v>159</v>
      </c>
    </row>
    <row r="54" spans="2:14" x14ac:dyDescent="0.25">
      <c r="D54" s="134"/>
      <c r="E54" s="134"/>
      <c r="F54" s="134"/>
      <c r="G54" s="134"/>
      <c r="H54" s="134"/>
      <c r="I54" s="134"/>
      <c r="J54" s="134"/>
      <c r="K54" s="134"/>
    </row>
    <row r="55" spans="2:14" ht="39.950000000000003" customHeight="1" x14ac:dyDescent="0.25">
      <c r="B55" s="134"/>
      <c r="D55" s="143" t="s">
        <v>184</v>
      </c>
      <c r="E55" s="167"/>
      <c r="F55" s="181">
        <v>50</v>
      </c>
      <c r="H55" s="139" t="s">
        <v>41</v>
      </c>
      <c r="I55" s="134"/>
      <c r="J55" s="134"/>
      <c r="K55" s="134"/>
      <c r="L55" s="143" t="s">
        <v>188</v>
      </c>
      <c r="N55" s="181">
        <v>50</v>
      </c>
    </row>
    <row r="56" spans="2:14" x14ac:dyDescent="0.25">
      <c r="B56" s="134"/>
      <c r="H56" s="168"/>
      <c r="I56" s="134"/>
      <c r="J56" s="134"/>
      <c r="K56" s="134"/>
    </row>
    <row r="57" spans="2:14" ht="39.950000000000003" customHeight="1" x14ac:dyDescent="0.25">
      <c r="B57" s="169"/>
      <c r="C57" s="170"/>
      <c r="D57" s="143" t="s">
        <v>183</v>
      </c>
      <c r="E57" s="167"/>
      <c r="F57" s="181">
        <v>5</v>
      </c>
      <c r="H57" s="139" t="s">
        <v>41</v>
      </c>
      <c r="I57" s="167"/>
      <c r="J57" s="167"/>
      <c r="K57" s="167"/>
      <c r="L57" s="143" t="s">
        <v>187</v>
      </c>
      <c r="N57" s="185">
        <v>17.600000000000001</v>
      </c>
    </row>
    <row r="58" spans="2:14" x14ac:dyDescent="0.25">
      <c r="B58" s="169"/>
      <c r="C58" s="170"/>
      <c r="H58" s="168"/>
      <c r="I58" s="167"/>
      <c r="J58" s="167"/>
      <c r="K58" s="167"/>
    </row>
    <row r="59" spans="2:14" ht="39.950000000000003" customHeight="1" x14ac:dyDescent="0.25">
      <c r="B59" s="169"/>
      <c r="C59" s="170"/>
      <c r="D59" s="143" t="s">
        <v>186</v>
      </c>
      <c r="E59" s="167"/>
      <c r="F59" s="181">
        <v>5</v>
      </c>
      <c r="H59" s="139" t="s">
        <v>41</v>
      </c>
      <c r="I59" s="167"/>
      <c r="J59" s="167"/>
      <c r="K59" s="167"/>
    </row>
    <row r="60" spans="2:14" x14ac:dyDescent="0.25">
      <c r="B60" s="169"/>
      <c r="C60" s="170"/>
      <c r="H60" s="168"/>
      <c r="I60" s="167"/>
      <c r="J60" s="167"/>
      <c r="K60" s="167"/>
    </row>
    <row r="61" spans="2:14" ht="39.950000000000003" customHeight="1" x14ac:dyDescent="0.25">
      <c r="B61" s="169"/>
      <c r="C61" s="170"/>
      <c r="D61" s="143" t="s">
        <v>185</v>
      </c>
      <c r="E61" s="167"/>
      <c r="F61" s="199">
        <v>20000</v>
      </c>
      <c r="H61" s="139" t="s">
        <v>46</v>
      </c>
      <c r="I61" s="167"/>
      <c r="J61" s="186" t="s">
        <v>189</v>
      </c>
      <c r="K61" s="167"/>
    </row>
    <row r="62" spans="2:14" x14ac:dyDescent="0.25">
      <c r="H62" s="168"/>
    </row>
    <row r="63" spans="2:14" ht="39.950000000000003" customHeight="1" x14ac:dyDescent="0.25">
      <c r="D63" s="143" t="s">
        <v>44</v>
      </c>
      <c r="E63" s="167"/>
      <c r="F63" s="199">
        <v>10</v>
      </c>
      <c r="H63" s="139" t="s">
        <v>45</v>
      </c>
      <c r="J63" s="186" t="s">
        <v>189</v>
      </c>
    </row>
    <row r="75" spans="3:15" ht="39.950000000000003" customHeight="1" x14ac:dyDescent="0.25">
      <c r="C75" s="171"/>
      <c r="D75" s="172" t="s">
        <v>70</v>
      </c>
      <c r="E75" s="171"/>
      <c r="F75" s="171"/>
      <c r="G75" s="171"/>
      <c r="H75" s="171"/>
      <c r="I75" s="171"/>
      <c r="J75" s="171"/>
      <c r="K75" s="171"/>
      <c r="L75" s="172" t="s">
        <v>85</v>
      </c>
      <c r="M75" s="171"/>
      <c r="N75" s="171"/>
      <c r="O75" s="171"/>
    </row>
    <row r="76" spans="3:15" x14ac:dyDescent="0.25"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</row>
    <row r="77" spans="3:15" ht="39.950000000000003" customHeight="1" x14ac:dyDescent="0.25">
      <c r="C77" s="171"/>
      <c r="D77" s="176" t="s">
        <v>55</v>
      </c>
      <c r="E77" s="171"/>
      <c r="F77" s="178">
        <f>+'Calculos a Detalle Captura'!C6</f>
        <v>1087200</v>
      </c>
      <c r="G77" s="171"/>
      <c r="H77" s="175" t="s">
        <v>46</v>
      </c>
      <c r="I77" s="171"/>
      <c r="J77" s="171"/>
      <c r="K77" s="171"/>
      <c r="L77" s="176" t="s">
        <v>53</v>
      </c>
      <c r="M77" s="171"/>
      <c r="N77" s="177">
        <f>+N55</f>
        <v>50</v>
      </c>
      <c r="O77" s="171"/>
    </row>
    <row r="78" spans="3:15" x14ac:dyDescent="0.25"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</row>
    <row r="79" spans="3:15" ht="39.950000000000003" customHeight="1" x14ac:dyDescent="0.25">
      <c r="C79" s="171"/>
      <c r="D79" s="176" t="s">
        <v>56</v>
      </c>
      <c r="E79" s="171"/>
      <c r="F79" s="178">
        <f>+'Calculos a Detalle Captura'!C7</f>
        <v>81.033540372670814</v>
      </c>
      <c r="G79" s="171"/>
      <c r="H79" s="175" t="s">
        <v>78</v>
      </c>
      <c r="I79" s="171"/>
      <c r="J79" s="171"/>
      <c r="K79" s="171"/>
      <c r="L79" s="176" t="s">
        <v>138</v>
      </c>
      <c r="M79" s="171"/>
      <c r="N79" s="179">
        <f>+'Calculos a Detalle Captura'!L6</f>
        <v>2732180</v>
      </c>
      <c r="O79" s="171"/>
    </row>
    <row r="80" spans="3:15" x14ac:dyDescent="0.25"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</row>
    <row r="81" spans="3:15" ht="39.950000000000003" customHeight="1" x14ac:dyDescent="0.25">
      <c r="C81" s="171"/>
      <c r="D81" s="176" t="s">
        <v>57</v>
      </c>
      <c r="E81" s="171"/>
      <c r="F81" s="178">
        <f>+'Calculos a Detalle Captura'!C8</f>
        <v>0.59583485568140304</v>
      </c>
      <c r="G81" s="171"/>
      <c r="H81" s="175" t="s">
        <v>79</v>
      </c>
      <c r="I81" s="171"/>
      <c r="J81" s="171"/>
      <c r="K81" s="171"/>
      <c r="L81" s="176" t="s">
        <v>139</v>
      </c>
      <c r="M81" s="171"/>
      <c r="N81" s="179">
        <f>+'Calculos a Detalle Captura'!L7</f>
        <v>841720.00000000012</v>
      </c>
      <c r="O81" s="171"/>
    </row>
    <row r="82" spans="3:15" x14ac:dyDescent="0.25"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</row>
    <row r="83" spans="3:15" ht="39.950000000000003" customHeight="1" x14ac:dyDescent="0.25">
      <c r="C83" s="171"/>
      <c r="D83" s="176" t="s">
        <v>68</v>
      </c>
      <c r="E83" s="171"/>
      <c r="F83" s="178">
        <f>+'Calculos a Detalle Captura'!C9</f>
        <v>4742366.3999999985</v>
      </c>
      <c r="G83" s="171"/>
      <c r="H83" s="175" t="s">
        <v>65</v>
      </c>
      <c r="I83" s="171"/>
      <c r="J83" s="171"/>
      <c r="K83" s="171"/>
      <c r="L83" s="176" t="s">
        <v>140</v>
      </c>
      <c r="M83" s="171"/>
      <c r="N83" s="179">
        <f>+'Calculos a Detalle Captura'!L8</f>
        <v>1219812</v>
      </c>
      <c r="O83" s="171"/>
    </row>
    <row r="84" spans="3:15" x14ac:dyDescent="0.25"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</row>
    <row r="85" spans="3:15" ht="39.950000000000003" customHeight="1" x14ac:dyDescent="0.25">
      <c r="C85" s="171"/>
      <c r="D85" s="176" t="s">
        <v>69</v>
      </c>
      <c r="E85" s="171"/>
      <c r="F85" s="178">
        <f>+'Calculos a Detalle Captura'!C10</f>
        <v>987.9929999999996</v>
      </c>
      <c r="G85" s="171"/>
      <c r="H85" s="175" t="s">
        <v>80</v>
      </c>
      <c r="I85" s="171"/>
      <c r="J85" s="171"/>
      <c r="K85" s="171"/>
      <c r="L85" s="188" t="s">
        <v>190</v>
      </c>
      <c r="M85" s="171"/>
      <c r="N85" s="174">
        <f>+'Calculos a Detalle Captura'!K11</f>
        <v>1218913.4999999991</v>
      </c>
      <c r="O85" s="171"/>
    </row>
    <row r="86" spans="3:15" x14ac:dyDescent="0.25"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</row>
    <row r="87" spans="3:15" ht="39.950000000000003" customHeight="1" x14ac:dyDescent="0.25">
      <c r="C87" s="171"/>
      <c r="D87" s="173" t="s">
        <v>191</v>
      </c>
      <c r="E87" s="171"/>
      <c r="F87" s="174">
        <f>+'Calculos a Detalle Captura'!C5</f>
        <v>2438725.4999999991</v>
      </c>
      <c r="G87" s="171"/>
      <c r="H87" s="175" t="s">
        <v>77</v>
      </c>
      <c r="I87" s="171"/>
      <c r="J87" s="171"/>
      <c r="K87" s="171"/>
      <c r="L87" s="176" t="s">
        <v>157</v>
      </c>
      <c r="M87" s="171"/>
      <c r="N87" s="180">
        <f>+N57</f>
        <v>17.600000000000001</v>
      </c>
      <c r="O87" s="171"/>
    </row>
    <row r="88" spans="3:15" x14ac:dyDescent="0.25"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</row>
    <row r="89" spans="3:15" ht="15.75" x14ac:dyDescent="0.25">
      <c r="C89" s="171"/>
      <c r="D89" s="188" t="s">
        <v>192</v>
      </c>
      <c r="E89" s="171"/>
      <c r="F89" s="189">
        <f>(('Calculos a Detalle Captura'!C26*'Calculos a Detalle Captura'!E16)*'Calculos a Detalle Captura'!J17)*12</f>
        <v>54360</v>
      </c>
      <c r="G89" s="171"/>
      <c r="H89" s="175" t="s">
        <v>77</v>
      </c>
      <c r="I89" s="171"/>
      <c r="J89" s="171"/>
      <c r="K89" s="171"/>
      <c r="L89" s="171"/>
      <c r="M89" s="171"/>
      <c r="N89" s="171"/>
      <c r="O89" s="171"/>
    </row>
    <row r="90" spans="3:15" x14ac:dyDescent="0.25"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</row>
    <row r="91" spans="3:15" ht="15.75" x14ac:dyDescent="0.25">
      <c r="C91" s="171"/>
      <c r="D91" s="188" t="s">
        <v>193</v>
      </c>
      <c r="E91" s="171"/>
      <c r="F91" s="189">
        <f>(('Calculos a Detalle Captura'!G26*'Calculos a Detalle Captura'!E16)*'Calculos a Detalle Captura'!J17)*12</f>
        <v>1992973.4999999995</v>
      </c>
      <c r="G91" s="171"/>
      <c r="H91" s="175" t="s">
        <v>77</v>
      </c>
      <c r="I91" s="171"/>
      <c r="J91" s="171"/>
      <c r="K91" s="171"/>
      <c r="L91" s="171"/>
      <c r="M91" s="171"/>
      <c r="N91" s="171"/>
      <c r="O91" s="171"/>
    </row>
    <row r="92" spans="3:15" x14ac:dyDescent="0.25"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</row>
    <row r="93" spans="3:15" ht="15.75" x14ac:dyDescent="0.25">
      <c r="C93" s="171"/>
      <c r="D93" s="188" t="s">
        <v>194</v>
      </c>
      <c r="E93" s="171"/>
      <c r="F93" s="189">
        <f>(('Calculos a Detalle Captura'!O26*'Calculos a Detalle Captura'!E16)*'Calculos a Detalle Captura'!J17)*12</f>
        <v>391391.99999999994</v>
      </c>
      <c r="G93" s="171"/>
      <c r="H93" s="175" t="s">
        <v>77</v>
      </c>
      <c r="I93" s="171"/>
      <c r="J93" s="171"/>
      <c r="K93" s="171"/>
      <c r="L93" s="171"/>
      <c r="M93" s="171"/>
      <c r="N93" s="171"/>
      <c r="O93" s="171"/>
    </row>
    <row r="94" spans="3:15" x14ac:dyDescent="0.25"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</row>
    <row r="97" spans="3:14" ht="15.75" x14ac:dyDescent="0.25">
      <c r="C97" s="194" t="s">
        <v>227</v>
      </c>
    </row>
    <row r="98" spans="3:14" ht="15" customHeight="1" x14ac:dyDescent="0.25">
      <c r="C98" s="193">
        <v>1</v>
      </c>
      <c r="D98" s="192" t="s">
        <v>195</v>
      </c>
      <c r="E98" s="190"/>
      <c r="F98" s="191"/>
      <c r="G98" s="191"/>
      <c r="H98" s="191"/>
      <c r="I98" s="191"/>
      <c r="J98" s="191"/>
      <c r="K98" s="191"/>
      <c r="L98" s="191"/>
    </row>
    <row r="99" spans="3:14" ht="15" customHeight="1" x14ac:dyDescent="0.25">
      <c r="C99" s="195">
        <v>2</v>
      </c>
      <c r="D99" s="196" t="s">
        <v>196</v>
      </c>
      <c r="E99" s="197"/>
      <c r="F99" s="198"/>
      <c r="G99" s="198"/>
      <c r="H99" s="198"/>
      <c r="I99" s="198"/>
      <c r="J99" s="198"/>
      <c r="K99" s="198"/>
      <c r="L99" s="198"/>
      <c r="M99" s="171"/>
      <c r="N99" s="171"/>
    </row>
    <row r="100" spans="3:14" ht="15" customHeight="1" x14ac:dyDescent="0.25">
      <c r="C100" s="193">
        <v>3</v>
      </c>
      <c r="D100" s="192" t="s">
        <v>197</v>
      </c>
      <c r="E100" s="191"/>
      <c r="F100" s="191"/>
      <c r="G100" s="191"/>
      <c r="H100" s="191"/>
      <c r="I100" s="191"/>
      <c r="J100" s="191"/>
      <c r="K100" s="191"/>
      <c r="L100" s="192" t="s">
        <v>198</v>
      </c>
    </row>
    <row r="101" spans="3:14" ht="15" customHeight="1" x14ac:dyDescent="0.25">
      <c r="C101" s="195">
        <v>4</v>
      </c>
      <c r="D101" s="196" t="s">
        <v>199</v>
      </c>
      <c r="E101" s="198"/>
      <c r="F101" s="198"/>
      <c r="G101" s="198"/>
      <c r="H101" s="198"/>
      <c r="I101" s="198"/>
      <c r="J101" s="198"/>
      <c r="K101" s="198"/>
      <c r="L101" s="196" t="s">
        <v>200</v>
      </c>
      <c r="M101" s="171"/>
      <c r="N101" s="171"/>
    </row>
    <row r="102" spans="3:14" ht="15" customHeight="1" x14ac:dyDescent="0.25">
      <c r="C102" s="193">
        <v>5</v>
      </c>
      <c r="D102" s="192" t="s">
        <v>201</v>
      </c>
      <c r="E102" s="191"/>
      <c r="F102" s="191"/>
      <c r="G102" s="191"/>
      <c r="H102" s="191"/>
      <c r="I102" s="191"/>
      <c r="J102" s="191"/>
      <c r="K102" s="191"/>
      <c r="L102" s="192" t="s">
        <v>202</v>
      </c>
    </row>
    <row r="103" spans="3:14" ht="30" customHeight="1" x14ac:dyDescent="0.25">
      <c r="C103" s="195">
        <v>6</v>
      </c>
      <c r="D103" s="206" t="s">
        <v>203</v>
      </c>
      <c r="E103" s="206"/>
      <c r="F103" s="206"/>
      <c r="G103" s="206"/>
      <c r="H103" s="206"/>
      <c r="I103" s="206"/>
      <c r="J103" s="206"/>
      <c r="K103" s="206"/>
      <c r="L103" s="196" t="s">
        <v>202</v>
      </c>
      <c r="M103" s="171"/>
      <c r="N103" s="171"/>
    </row>
    <row r="104" spans="3:14" ht="30" customHeight="1" x14ac:dyDescent="0.25">
      <c r="C104" s="193">
        <v>7</v>
      </c>
      <c r="D104" s="213" t="s">
        <v>204</v>
      </c>
      <c r="E104" s="213"/>
      <c r="F104" s="213"/>
      <c r="G104" s="213"/>
      <c r="H104" s="213"/>
      <c r="I104" s="213"/>
      <c r="J104" s="213"/>
      <c r="K104" s="213"/>
      <c r="L104" s="213" t="s">
        <v>205</v>
      </c>
      <c r="M104" s="213"/>
      <c r="N104" s="213"/>
    </row>
    <row r="105" spans="3:14" ht="30" customHeight="1" x14ac:dyDescent="0.25">
      <c r="C105" s="195">
        <v>8</v>
      </c>
      <c r="D105" s="206" t="s">
        <v>206</v>
      </c>
      <c r="E105" s="206"/>
      <c r="F105" s="206"/>
      <c r="G105" s="206"/>
      <c r="H105" s="206"/>
      <c r="I105" s="206"/>
      <c r="J105" s="206"/>
      <c r="K105" s="206"/>
      <c r="L105" s="206" t="s">
        <v>207</v>
      </c>
      <c r="M105" s="206"/>
      <c r="N105" s="206"/>
    </row>
    <row r="106" spans="3:14" ht="15" customHeight="1" x14ac:dyDescent="0.25">
      <c r="C106" s="193">
        <v>9</v>
      </c>
      <c r="D106" s="192" t="s">
        <v>208</v>
      </c>
      <c r="E106" s="190"/>
      <c r="F106" s="191"/>
      <c r="G106" s="191"/>
      <c r="H106" s="191"/>
      <c r="I106" s="191"/>
      <c r="J106" s="191"/>
      <c r="K106" s="191"/>
      <c r="L106" s="191"/>
    </row>
    <row r="107" spans="3:14" ht="15" customHeight="1" x14ac:dyDescent="0.25">
      <c r="C107" s="195">
        <v>10</v>
      </c>
      <c r="D107" s="196" t="s">
        <v>209</v>
      </c>
      <c r="E107" s="197"/>
      <c r="F107" s="198"/>
      <c r="G107" s="198"/>
      <c r="H107" s="198"/>
      <c r="I107" s="198"/>
      <c r="J107" s="198"/>
      <c r="K107" s="198"/>
      <c r="L107" s="198"/>
      <c r="M107" s="171"/>
      <c r="N107" s="171"/>
    </row>
    <row r="108" spans="3:14" ht="15" customHeight="1" x14ac:dyDescent="0.25">
      <c r="C108" s="193">
        <v>11</v>
      </c>
      <c r="D108" s="192" t="s">
        <v>210</v>
      </c>
      <c r="E108" s="190"/>
      <c r="F108" s="191"/>
      <c r="G108" s="191"/>
      <c r="H108" s="191"/>
      <c r="I108" s="191"/>
      <c r="J108" s="191"/>
      <c r="K108" s="191"/>
      <c r="L108" s="191"/>
    </row>
    <row r="109" spans="3:14" ht="15" customHeight="1" x14ac:dyDescent="0.25">
      <c r="C109" s="195">
        <v>12</v>
      </c>
      <c r="D109" s="196" t="s">
        <v>211</v>
      </c>
      <c r="E109" s="197"/>
      <c r="F109" s="198"/>
      <c r="G109" s="198"/>
      <c r="H109" s="198"/>
      <c r="I109" s="198"/>
      <c r="J109" s="198"/>
      <c r="K109" s="198"/>
      <c r="L109" s="198"/>
      <c r="M109" s="171"/>
      <c r="N109" s="171"/>
    </row>
    <row r="110" spans="3:14" ht="15" customHeight="1" x14ac:dyDescent="0.25">
      <c r="C110" s="193">
        <v>13</v>
      </c>
      <c r="D110" s="192" t="s">
        <v>212</v>
      </c>
      <c r="E110" s="190"/>
      <c r="F110" s="191"/>
      <c r="G110" s="191"/>
      <c r="H110" s="191"/>
      <c r="I110" s="191"/>
      <c r="J110" s="191"/>
      <c r="K110" s="191"/>
      <c r="L110" s="191"/>
    </row>
    <row r="111" spans="3:14" ht="15" customHeight="1" x14ac:dyDescent="0.25">
      <c r="C111" s="195">
        <v>14</v>
      </c>
      <c r="D111" s="196" t="s">
        <v>213</v>
      </c>
      <c r="E111" s="197"/>
      <c r="F111" s="198"/>
      <c r="G111" s="198"/>
      <c r="H111" s="198"/>
      <c r="I111" s="198"/>
      <c r="J111" s="198"/>
      <c r="K111" s="198"/>
      <c r="L111" s="198"/>
      <c r="M111" s="171"/>
      <c r="N111" s="171"/>
    </row>
    <row r="112" spans="3:14" ht="15" customHeight="1" x14ac:dyDescent="0.25">
      <c r="C112" s="193">
        <v>15</v>
      </c>
      <c r="D112" s="192" t="s">
        <v>214</v>
      </c>
      <c r="E112" s="190"/>
      <c r="F112" s="191"/>
      <c r="G112" s="191"/>
      <c r="H112" s="191"/>
      <c r="I112" s="191"/>
      <c r="J112" s="191"/>
      <c r="K112" s="191"/>
      <c r="L112" s="191"/>
    </row>
    <row r="113" spans="3:14" ht="15" customHeight="1" x14ac:dyDescent="0.25">
      <c r="C113" s="195">
        <v>16</v>
      </c>
      <c r="D113" s="196" t="s">
        <v>215</v>
      </c>
      <c r="E113" s="197"/>
      <c r="F113" s="198"/>
      <c r="G113" s="198"/>
      <c r="H113" s="198"/>
      <c r="I113" s="198"/>
      <c r="J113" s="198"/>
      <c r="K113" s="198"/>
      <c r="L113" s="198"/>
      <c r="M113" s="171"/>
      <c r="N113" s="171"/>
    </row>
    <row r="114" spans="3:14" ht="15" customHeight="1" x14ac:dyDescent="0.25">
      <c r="C114" s="193">
        <v>17</v>
      </c>
      <c r="D114" s="192" t="s">
        <v>216</v>
      </c>
      <c r="E114" s="190"/>
      <c r="F114" s="191"/>
      <c r="G114" s="191"/>
      <c r="H114" s="191"/>
      <c r="I114" s="191"/>
      <c r="J114" s="191"/>
      <c r="K114" s="191"/>
      <c r="L114" s="191"/>
    </row>
    <row r="115" spans="3:14" ht="15" customHeight="1" x14ac:dyDescent="0.25">
      <c r="C115" s="195">
        <v>18</v>
      </c>
      <c r="D115" s="196" t="s">
        <v>213</v>
      </c>
      <c r="E115" s="197"/>
      <c r="F115" s="198"/>
      <c r="G115" s="198"/>
      <c r="H115" s="198"/>
      <c r="I115" s="198"/>
      <c r="J115" s="198"/>
      <c r="K115" s="198"/>
      <c r="L115" s="198"/>
      <c r="M115" s="171"/>
      <c r="N115" s="171"/>
    </row>
    <row r="116" spans="3:14" ht="15" customHeight="1" x14ac:dyDescent="0.25">
      <c r="C116" s="193">
        <v>19</v>
      </c>
      <c r="D116" s="192" t="s">
        <v>217</v>
      </c>
      <c r="E116" s="190"/>
      <c r="F116" s="191"/>
      <c r="G116" s="191"/>
      <c r="H116" s="191"/>
      <c r="I116" s="191"/>
      <c r="J116" s="191"/>
      <c r="K116" s="191"/>
      <c r="L116" s="191"/>
    </row>
    <row r="117" spans="3:14" ht="15" customHeight="1" x14ac:dyDescent="0.25">
      <c r="C117" s="195">
        <v>20</v>
      </c>
      <c r="D117" s="196" t="s">
        <v>218</v>
      </c>
      <c r="E117" s="197"/>
      <c r="F117" s="198"/>
      <c r="G117" s="198"/>
      <c r="H117" s="198"/>
      <c r="I117" s="198"/>
      <c r="J117" s="198"/>
      <c r="K117" s="198"/>
      <c r="L117" s="198"/>
      <c r="M117" s="171"/>
      <c r="N117" s="171"/>
    </row>
    <row r="118" spans="3:14" ht="15" customHeight="1" x14ac:dyDescent="0.25">
      <c r="C118" s="193">
        <v>21</v>
      </c>
      <c r="D118" s="192" t="s">
        <v>219</v>
      </c>
      <c r="E118" s="190"/>
      <c r="F118" s="191"/>
      <c r="G118" s="191"/>
      <c r="H118" s="191"/>
      <c r="I118" s="191"/>
      <c r="J118" s="191"/>
      <c r="K118" s="191"/>
      <c r="L118" s="191"/>
    </row>
    <row r="119" spans="3:14" ht="15" customHeight="1" x14ac:dyDescent="0.25">
      <c r="C119" s="195">
        <v>22</v>
      </c>
      <c r="D119" s="196" t="s">
        <v>220</v>
      </c>
      <c r="E119" s="197"/>
      <c r="F119" s="198"/>
      <c r="G119" s="198"/>
      <c r="H119" s="198"/>
      <c r="I119" s="198"/>
      <c r="J119" s="198"/>
      <c r="K119" s="198"/>
      <c r="L119" s="198"/>
      <c r="M119" s="171"/>
      <c r="N119" s="171"/>
    </row>
    <row r="120" spans="3:14" ht="15" customHeight="1" x14ac:dyDescent="0.25">
      <c r="C120" s="193">
        <v>23</v>
      </c>
      <c r="D120" s="192" t="s">
        <v>221</v>
      </c>
      <c r="E120" s="190"/>
      <c r="F120" s="191"/>
      <c r="G120" s="191"/>
      <c r="H120" s="191"/>
      <c r="I120" s="191"/>
      <c r="J120" s="191"/>
      <c r="K120" s="191"/>
      <c r="L120" s="191"/>
    </row>
    <row r="121" spans="3:14" ht="15" customHeight="1" x14ac:dyDescent="0.25">
      <c r="C121" s="195">
        <v>24</v>
      </c>
      <c r="D121" s="196" t="s">
        <v>222</v>
      </c>
      <c r="E121" s="197"/>
      <c r="F121" s="198"/>
      <c r="G121" s="198"/>
      <c r="H121" s="198"/>
      <c r="I121" s="198"/>
      <c r="J121" s="198"/>
      <c r="K121" s="198"/>
      <c r="L121" s="198"/>
      <c r="M121" s="171"/>
      <c r="N121" s="171"/>
    </row>
    <row r="122" spans="3:14" ht="15" customHeight="1" x14ac:dyDescent="0.25">
      <c r="C122" s="193">
        <v>25</v>
      </c>
      <c r="D122" s="192" t="s">
        <v>223</v>
      </c>
      <c r="E122" s="190"/>
      <c r="F122" s="191"/>
      <c r="G122" s="191"/>
      <c r="H122" s="191"/>
      <c r="I122" s="191"/>
      <c r="J122" s="191"/>
      <c r="K122" s="191"/>
      <c r="L122" s="191"/>
    </row>
    <row r="123" spans="3:14" ht="15" customHeight="1" x14ac:dyDescent="0.25">
      <c r="C123" s="195">
        <v>26</v>
      </c>
      <c r="D123" s="196" t="s">
        <v>224</v>
      </c>
      <c r="E123" s="197"/>
      <c r="F123" s="198"/>
      <c r="G123" s="198"/>
      <c r="H123" s="198"/>
      <c r="I123" s="198"/>
      <c r="J123" s="198"/>
      <c r="K123" s="198"/>
      <c r="L123" s="198"/>
      <c r="M123" s="171"/>
      <c r="N123" s="171"/>
    </row>
    <row r="124" spans="3:14" ht="15" customHeight="1" x14ac:dyDescent="0.25">
      <c r="C124" s="193">
        <v>27</v>
      </c>
      <c r="D124" s="192" t="s">
        <v>225</v>
      </c>
      <c r="E124" s="190"/>
      <c r="F124" s="191"/>
      <c r="G124" s="191"/>
      <c r="H124" s="191"/>
      <c r="I124" s="191"/>
      <c r="J124" s="191"/>
      <c r="K124" s="191"/>
      <c r="L124" s="191"/>
    </row>
    <row r="125" spans="3:14" ht="15" customHeight="1" x14ac:dyDescent="0.25">
      <c r="C125" s="195">
        <v>28</v>
      </c>
      <c r="D125" s="196" t="s">
        <v>226</v>
      </c>
      <c r="E125" s="197"/>
      <c r="F125" s="198"/>
      <c r="G125" s="198"/>
      <c r="H125" s="198"/>
      <c r="I125" s="198"/>
      <c r="J125" s="198"/>
      <c r="K125" s="198"/>
      <c r="L125" s="198"/>
      <c r="M125" s="171"/>
      <c r="N125" s="171"/>
    </row>
  </sheetData>
  <sheetProtection algorithmName="SHA-512" hashValue="w18+Vv/O7VqFaprAO/s+swHZYWi1yEq/PGkKCaXllW5fFRkLzqrw8D5BrrDm2m9dkct91+2XLkFOJGRwULQ27Q==" saltValue="cpdvGctGA7kkN0SX572Tgw==" spinCount="100000" sheet="1" objects="1" scenarios="1" selectLockedCells="1"/>
  <mergeCells count="8">
    <mergeCell ref="L105:N105"/>
    <mergeCell ref="D105:K105"/>
    <mergeCell ref="D8:F8"/>
    <mergeCell ref="D19:I19"/>
    <mergeCell ref="D35:I35"/>
    <mergeCell ref="L104:N104"/>
    <mergeCell ref="D104:K104"/>
    <mergeCell ref="D103:K103"/>
  </mergeCells>
  <dataValidations count="1">
    <dataValidation allowBlank="1" showInputMessage="1" showErrorMessage="1" promptTitle="Valor Sugerido" prompt="Este valor es resultado de un estudio de mercado de Pegaso Tecnolgía" sqref="F25 F27 F29 F31 F14 H25 H27 H29 H31 N25 N27 N29 N31 N33 F44 F46 N42 N44 N46 F61 F63"/>
  </dataValidations>
  <pageMargins left="0.15748031496062992" right="0.15748031496062992" top="0.31496062992125984" bottom="0.15748031496062992" header="0.15748031496062992" footer="0.15748031496062992"/>
  <pageSetup scale="89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print="0" autoLine="0" r:id="rId5">
            <anchor>
              <from>
                <xdr:col>3</xdr:col>
                <xdr:colOff>361950</xdr:colOff>
                <xdr:row>68</xdr:row>
                <xdr:rowOff>57150</xdr:rowOff>
              </from>
              <to>
                <xdr:col>3</xdr:col>
                <xdr:colOff>2000250</xdr:colOff>
                <xdr:row>72</xdr:row>
                <xdr:rowOff>152400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68"/>
  <sheetViews>
    <sheetView topLeftCell="D1" zoomScale="145" zoomScaleNormal="145" workbookViewId="0">
      <selection activeCell="K6" sqref="K6:K7"/>
    </sheetView>
  </sheetViews>
  <sheetFormatPr baseColWidth="10" defaultColWidth="11.42578125" defaultRowHeight="14.25" x14ac:dyDescent="0.2"/>
  <cols>
    <col min="1" max="1" width="11.42578125" style="1"/>
    <col min="2" max="2" width="62.42578125" style="1" customWidth="1"/>
    <col min="3" max="3" width="23.5703125" style="1" customWidth="1"/>
    <col min="4" max="4" width="12.5703125" style="1" customWidth="1"/>
    <col min="5" max="5" width="12.7109375" style="1" bestFit="1" customWidth="1"/>
    <col min="6" max="6" width="11.42578125" style="1"/>
    <col min="7" max="7" width="13.7109375" style="1" customWidth="1"/>
    <col min="8" max="8" width="15.42578125" style="1" customWidth="1"/>
    <col min="9" max="9" width="35" style="1" bestFit="1" customWidth="1"/>
    <col min="10" max="10" width="16.28515625" style="1" customWidth="1"/>
    <col min="11" max="11" width="24.28515625" style="1" bestFit="1" customWidth="1"/>
    <col min="12" max="12" width="16.85546875" style="1" bestFit="1" customWidth="1"/>
    <col min="13" max="13" width="10.7109375" style="1" customWidth="1"/>
    <col min="14" max="14" width="13.140625" style="1" bestFit="1" customWidth="1"/>
    <col min="15" max="15" width="15.5703125" style="1" customWidth="1"/>
    <col min="16" max="16" width="17.85546875" style="1" customWidth="1"/>
    <col min="17" max="17" width="11.42578125" style="1"/>
    <col min="18" max="18" width="23.5703125" style="1" customWidth="1"/>
    <col min="19" max="19" width="20.5703125" style="1" customWidth="1"/>
    <col min="20" max="16384" width="11.42578125" style="1"/>
  </cols>
  <sheetData>
    <row r="1" spans="1:19" ht="82.5" customHeight="1" x14ac:dyDescent="0.2"/>
    <row r="2" spans="1:19" ht="30" customHeight="1" x14ac:dyDescent="0.2">
      <c r="A2" s="18" t="s">
        <v>83</v>
      </c>
      <c r="H2" s="48"/>
      <c r="S2" s="48"/>
    </row>
    <row r="3" spans="1:19" ht="30" customHeight="1" thickBot="1" x14ac:dyDescent="0.3">
      <c r="A3" s="18"/>
      <c r="H3" s="48"/>
      <c r="Q3" s="4"/>
      <c r="S3" s="49"/>
    </row>
    <row r="4" spans="1:19" ht="30" customHeight="1" x14ac:dyDescent="0.3">
      <c r="A4" s="18"/>
      <c r="B4" s="55" t="s">
        <v>70</v>
      </c>
      <c r="C4" s="27"/>
      <c r="D4" s="27"/>
      <c r="E4" s="28"/>
      <c r="H4" s="48"/>
      <c r="J4" s="48"/>
      <c r="K4" s="1" t="s">
        <v>141</v>
      </c>
      <c r="L4" s="1">
        <f>+Captura!N87</f>
        <v>17.600000000000001</v>
      </c>
      <c r="Q4" s="4"/>
      <c r="S4" s="49"/>
    </row>
    <row r="5" spans="1:19" ht="30" customHeight="1" x14ac:dyDescent="0.3">
      <c r="B5" s="51" t="s">
        <v>58</v>
      </c>
      <c r="C5" s="128">
        <f>E16*E17*J17*12</f>
        <v>2438725.4999999991</v>
      </c>
      <c r="D5" s="129"/>
      <c r="E5" s="60" t="s">
        <v>77</v>
      </c>
      <c r="G5" s="122"/>
      <c r="H5" s="48"/>
      <c r="I5" s="126" t="s">
        <v>85</v>
      </c>
      <c r="J5" s="48"/>
      <c r="Q5" s="4"/>
      <c r="S5" s="49"/>
    </row>
    <row r="6" spans="1:19" ht="30" customHeight="1" x14ac:dyDescent="0.3">
      <c r="B6" s="36" t="s">
        <v>55</v>
      </c>
      <c r="C6" s="130">
        <f>E16*J17*12</f>
        <v>1087200</v>
      </c>
      <c r="D6" s="131"/>
      <c r="E6" s="60" t="s">
        <v>46</v>
      </c>
      <c r="G6" s="122"/>
      <c r="H6" s="48"/>
      <c r="I6" s="1" t="s">
        <v>138</v>
      </c>
      <c r="J6" s="48"/>
      <c r="K6" s="122">
        <f>'Calculos pegasus'!H28</f>
        <v>155237.5</v>
      </c>
      <c r="L6" s="123">
        <f>+K6*$L$4</f>
        <v>2732180</v>
      </c>
      <c r="Q6" s="4"/>
      <c r="S6" s="49"/>
    </row>
    <row r="7" spans="1:19" ht="30" customHeight="1" x14ac:dyDescent="0.3">
      <c r="B7" s="36" t="s">
        <v>56</v>
      </c>
      <c r="C7" s="130">
        <f>C6/80500*6</f>
        <v>81.033540372670814</v>
      </c>
      <c r="D7" s="131"/>
      <c r="E7" s="60" t="s">
        <v>78</v>
      </c>
      <c r="G7" s="122"/>
      <c r="H7" s="48"/>
      <c r="I7" s="1" t="s">
        <v>139</v>
      </c>
      <c r="J7" s="48"/>
      <c r="K7" s="122">
        <f>+'Calculos pegasus'!H29</f>
        <v>47825</v>
      </c>
      <c r="L7" s="123">
        <f>+K7*$L$4</f>
        <v>841720.00000000012</v>
      </c>
      <c r="Q7" s="4"/>
      <c r="S7" s="49"/>
    </row>
    <row r="8" spans="1:19" ht="30" customHeight="1" x14ac:dyDescent="0.3">
      <c r="B8" s="52" t="s">
        <v>57</v>
      </c>
      <c r="C8" s="130">
        <f>C7/136</f>
        <v>0.59583485568140304</v>
      </c>
      <c r="D8" s="131"/>
      <c r="E8" s="60" t="s">
        <v>79</v>
      </c>
      <c r="G8" s="122"/>
      <c r="H8" s="48"/>
      <c r="I8" s="1" t="s">
        <v>140</v>
      </c>
      <c r="J8" s="48"/>
      <c r="K8" s="123">
        <f>((K7*4)+K6)/5</f>
        <v>69307.5</v>
      </c>
      <c r="L8" s="123">
        <f>+K8*$L$4</f>
        <v>1219812</v>
      </c>
      <c r="Q8" s="4"/>
      <c r="S8" s="49"/>
    </row>
    <row r="9" spans="1:19" ht="30" customHeight="1" x14ac:dyDescent="0.3">
      <c r="B9" s="52" t="s">
        <v>68</v>
      </c>
      <c r="C9" s="130">
        <f>(C6/5)*H54</f>
        <v>4742366.3999999985</v>
      </c>
      <c r="D9" s="131"/>
      <c r="E9" s="60" t="s">
        <v>65</v>
      </c>
      <c r="G9" s="122"/>
      <c r="H9" s="48"/>
      <c r="I9" s="1" t="s">
        <v>84</v>
      </c>
      <c r="J9" s="48"/>
      <c r="Q9" s="4"/>
      <c r="S9" s="49"/>
    </row>
    <row r="10" spans="1:19" ht="30" customHeight="1" thickBot="1" x14ac:dyDescent="0.35">
      <c r="B10" s="53" t="s">
        <v>69</v>
      </c>
      <c r="C10" s="132">
        <f>((E16/5)*12*H54)/24/4</f>
        <v>987.9929999999996</v>
      </c>
      <c r="D10" s="133"/>
      <c r="E10" s="61" t="s">
        <v>80</v>
      </c>
      <c r="G10" s="122"/>
    </row>
    <row r="11" spans="1:19" ht="30" customHeight="1" x14ac:dyDescent="0.3">
      <c r="B11" s="7"/>
      <c r="C11" s="50"/>
      <c r="D11" s="50"/>
      <c r="E11" s="48"/>
      <c r="I11" s="126" t="s">
        <v>144</v>
      </c>
      <c r="J11" s="48"/>
      <c r="K11" s="127">
        <f>C5-L8</f>
        <v>1218913.4999999991</v>
      </c>
      <c r="L11" s="60" t="s">
        <v>77</v>
      </c>
    </row>
    <row r="12" spans="1:19" ht="30" customHeight="1" x14ac:dyDescent="0.35">
      <c r="B12" s="54" t="s">
        <v>71</v>
      </c>
      <c r="C12" s="50"/>
      <c r="D12" s="50"/>
      <c r="E12" s="48"/>
    </row>
    <row r="13" spans="1:19" ht="30" customHeight="1" x14ac:dyDescent="0.2">
      <c r="B13" s="1" t="s">
        <v>73</v>
      </c>
      <c r="C13" s="47"/>
    </row>
    <row r="14" spans="1:19" ht="30" customHeight="1" x14ac:dyDescent="0.2">
      <c r="B14" s="1" t="s">
        <v>72</v>
      </c>
      <c r="C14" s="22"/>
    </row>
    <row r="15" spans="1:19" ht="30" customHeight="1" thickBot="1" x14ac:dyDescent="0.4">
      <c r="B15" s="54"/>
      <c r="C15" s="50"/>
      <c r="D15" s="50"/>
      <c r="E15" s="48"/>
    </row>
    <row r="16" spans="1:19" ht="32.25" customHeight="1" thickTop="1" thickBot="1" x14ac:dyDescent="0.3">
      <c r="A16" s="20"/>
      <c r="B16" s="1" t="s">
        <v>54</v>
      </c>
      <c r="E16" s="56">
        <f>+Captura!F14</f>
        <v>1812</v>
      </c>
    </row>
    <row r="17" spans="1:16" ht="25.5" customHeight="1" thickTop="1" thickBot="1" x14ac:dyDescent="0.3">
      <c r="A17" s="20"/>
      <c r="B17" s="4" t="s">
        <v>51</v>
      </c>
      <c r="E17" s="57">
        <f>C26+G26+O26</f>
        <v>2.2431249999999996</v>
      </c>
      <c r="G17" s="1" t="s">
        <v>53</v>
      </c>
      <c r="J17" s="58">
        <f>+Captura!N77</f>
        <v>50</v>
      </c>
    </row>
    <row r="18" spans="1:16" ht="32.25" customHeight="1" thickTop="1" thickBot="1" x14ac:dyDescent="0.25">
      <c r="A18" s="20"/>
    </row>
    <row r="19" spans="1:16" ht="32.25" customHeight="1" thickBot="1" x14ac:dyDescent="0.3">
      <c r="A19" s="25"/>
      <c r="B19" s="26" t="s">
        <v>49</v>
      </c>
      <c r="C19" s="27"/>
      <c r="D19" s="28"/>
      <c r="F19" s="35" t="s">
        <v>50</v>
      </c>
      <c r="G19" s="27"/>
      <c r="H19" s="28"/>
      <c r="J19" s="35" t="s">
        <v>52</v>
      </c>
      <c r="K19" s="27"/>
      <c r="L19" s="27"/>
      <c r="M19" s="27"/>
      <c r="N19" s="27"/>
      <c r="O19" s="28"/>
    </row>
    <row r="20" spans="1:16" ht="33.75" customHeight="1" thickTop="1" thickBot="1" x14ac:dyDescent="0.3">
      <c r="A20" s="214" t="s">
        <v>35</v>
      </c>
      <c r="B20" s="69" t="s">
        <v>38</v>
      </c>
      <c r="C20" s="63">
        <f>+Captura!N14</f>
        <v>0.05</v>
      </c>
      <c r="D20" s="29"/>
      <c r="F20" s="36" t="s">
        <v>75</v>
      </c>
      <c r="G20" s="13"/>
      <c r="H20" s="29"/>
      <c r="J20" s="36"/>
      <c r="K20" s="13"/>
      <c r="L20" s="13"/>
      <c r="M20" s="13"/>
      <c r="N20" s="13"/>
      <c r="O20" s="29"/>
    </row>
    <row r="21" spans="1:16" ht="44.25" customHeight="1" thickTop="1" thickBot="1" x14ac:dyDescent="0.3">
      <c r="A21" s="214"/>
      <c r="B21" s="69" t="s">
        <v>39</v>
      </c>
      <c r="C21" s="63">
        <f>+Captura!N16</f>
        <v>0.05</v>
      </c>
      <c r="D21" s="29"/>
      <c r="F21" s="36"/>
      <c r="G21" s="13"/>
      <c r="H21" s="29"/>
      <c r="J21" s="36"/>
      <c r="K21" s="13"/>
      <c r="L21" s="13"/>
      <c r="M21" s="13"/>
      <c r="N21" s="13"/>
      <c r="O21" s="29"/>
    </row>
    <row r="22" spans="1:16" ht="18.75" customHeight="1" thickTop="1" thickBot="1" x14ac:dyDescent="0.3">
      <c r="A22" s="30"/>
      <c r="B22" s="69"/>
      <c r="C22" s="13"/>
      <c r="D22" s="29"/>
      <c r="F22" s="36"/>
      <c r="G22" s="13"/>
      <c r="H22" s="29"/>
      <c r="J22" s="39" t="s">
        <v>40</v>
      </c>
      <c r="K22" s="13"/>
      <c r="L22" s="63">
        <f>+Captura!F55</f>
        <v>50</v>
      </c>
      <c r="M22" s="17" t="s">
        <v>41</v>
      </c>
      <c r="N22" s="13"/>
      <c r="O22" s="29"/>
    </row>
    <row r="23" spans="1:16" ht="18.75" customHeight="1" thickTop="1" thickBot="1" x14ac:dyDescent="0.3">
      <c r="A23" s="215" t="s">
        <v>36</v>
      </c>
      <c r="B23" s="69" t="s">
        <v>37</v>
      </c>
      <c r="C23" s="64">
        <f>+Captura!P14</f>
        <v>0.25</v>
      </c>
      <c r="D23" s="29"/>
      <c r="F23" s="36"/>
      <c r="G23" s="13"/>
      <c r="H23" s="29"/>
      <c r="J23" s="39" t="s">
        <v>42</v>
      </c>
      <c r="K23" s="13"/>
      <c r="L23" s="63">
        <f>+Captura!F57</f>
        <v>5</v>
      </c>
      <c r="M23" s="17" t="s">
        <v>41</v>
      </c>
      <c r="N23" s="13"/>
      <c r="O23" s="29"/>
    </row>
    <row r="24" spans="1:16" ht="16.5" thickTop="1" thickBot="1" x14ac:dyDescent="0.3">
      <c r="A24" s="215"/>
      <c r="B24" s="69" t="s">
        <v>33</v>
      </c>
      <c r="C24" s="64">
        <f>+Captura!P16</f>
        <v>0.75</v>
      </c>
      <c r="D24" s="29"/>
      <c r="F24" s="36"/>
      <c r="G24" s="13"/>
      <c r="H24" s="29"/>
      <c r="J24" s="39" t="s">
        <v>43</v>
      </c>
      <c r="K24" s="13"/>
      <c r="L24" s="63">
        <f>+Captura!F59</f>
        <v>5</v>
      </c>
      <c r="M24" s="17" t="s">
        <v>41</v>
      </c>
      <c r="N24" s="13"/>
      <c r="O24" s="29"/>
    </row>
    <row r="25" spans="1:16" ht="18.75" customHeight="1" thickTop="1" thickBot="1" x14ac:dyDescent="0.3">
      <c r="A25" s="30"/>
      <c r="B25" s="13"/>
      <c r="C25" s="13"/>
      <c r="D25" s="29"/>
      <c r="F25" s="36"/>
      <c r="G25" s="13"/>
      <c r="H25" s="29"/>
      <c r="J25" s="39" t="s">
        <v>48</v>
      </c>
      <c r="K25" s="13"/>
      <c r="L25" s="58">
        <f>+Captura!F61</f>
        <v>20000</v>
      </c>
      <c r="M25" s="17" t="s">
        <v>46</v>
      </c>
      <c r="N25" s="13"/>
      <c r="O25" s="29"/>
    </row>
    <row r="26" spans="1:16" ht="18.75" customHeight="1" thickTop="1" thickBot="1" x14ac:dyDescent="0.3">
      <c r="A26" s="31"/>
      <c r="B26" s="32" t="s">
        <v>34</v>
      </c>
      <c r="C26" s="33">
        <f>(C20*C23)+(C21*C24)</f>
        <v>0.05</v>
      </c>
      <c r="D26" s="34"/>
      <c r="E26" s="48"/>
      <c r="F26" s="37" t="s">
        <v>34</v>
      </c>
      <c r="G26" s="38">
        <f>K44</f>
        <v>1.8331249999999997</v>
      </c>
      <c r="H26" s="34"/>
      <c r="I26" s="48"/>
      <c r="J26" s="40" t="s">
        <v>44</v>
      </c>
      <c r="K26" s="32"/>
      <c r="L26" s="58">
        <f>+Captura!F63</f>
        <v>10</v>
      </c>
      <c r="M26" s="41" t="s">
        <v>45</v>
      </c>
      <c r="N26" s="32" t="s">
        <v>34</v>
      </c>
      <c r="O26" s="42">
        <f>((L22+L23+L24)*(L26*12))/L25</f>
        <v>0.36</v>
      </c>
      <c r="P26" s="48"/>
    </row>
    <row r="27" spans="1:16" ht="18.75" customHeight="1" x14ac:dyDescent="0.2">
      <c r="A27" s="20"/>
      <c r="J27" s="44" t="s">
        <v>47</v>
      </c>
    </row>
    <row r="28" spans="1:16" ht="20.25" x14ac:dyDescent="0.3">
      <c r="B28" s="59" t="s">
        <v>74</v>
      </c>
    </row>
    <row r="29" spans="1:16" ht="20.25" x14ac:dyDescent="0.3">
      <c r="B29" s="59" t="s">
        <v>76</v>
      </c>
    </row>
    <row r="30" spans="1:16" ht="15.75" thickBot="1" x14ac:dyDescent="0.3">
      <c r="B30" s="4"/>
    </row>
    <row r="31" spans="1:16" ht="16.5" thickTop="1" thickBot="1" x14ac:dyDescent="0.3">
      <c r="B31" s="43" t="s">
        <v>31</v>
      </c>
      <c r="D31" s="58">
        <f>E16</f>
        <v>1812</v>
      </c>
    </row>
    <row r="32" spans="1:16" ht="16.5" thickTop="1" thickBot="1" x14ac:dyDescent="0.3">
      <c r="B32" s="43" t="s">
        <v>10</v>
      </c>
      <c r="D32" s="58">
        <f>+Captura!F16</f>
        <v>5</v>
      </c>
    </row>
    <row r="33" spans="1:11" ht="16.5" thickTop="1" thickBot="1" x14ac:dyDescent="0.3">
      <c r="B33" s="43" t="s">
        <v>32</v>
      </c>
      <c r="D33" s="3">
        <f>D31/D32</f>
        <v>362.4</v>
      </c>
    </row>
    <row r="34" spans="1:11" ht="15" thickTop="1" x14ac:dyDescent="0.2"/>
    <row r="35" spans="1:11" ht="15" x14ac:dyDescent="0.25">
      <c r="B35" s="4" t="s">
        <v>0</v>
      </c>
    </row>
    <row r="38" spans="1:11" s="7" customFormat="1" ht="57" x14ac:dyDescent="0.25">
      <c r="B38" s="6" t="s">
        <v>1</v>
      </c>
      <c r="C38" s="15" t="s">
        <v>4</v>
      </c>
      <c r="D38" s="16" t="s">
        <v>20</v>
      </c>
      <c r="E38" s="16" t="s">
        <v>17</v>
      </c>
      <c r="F38" s="16" t="s">
        <v>18</v>
      </c>
      <c r="G38" s="16" t="s">
        <v>19</v>
      </c>
      <c r="H38" s="16" t="s">
        <v>23</v>
      </c>
      <c r="I38" s="16" t="s">
        <v>24</v>
      </c>
      <c r="J38" s="16" t="s">
        <v>25</v>
      </c>
      <c r="K38" s="16" t="s">
        <v>26</v>
      </c>
    </row>
    <row r="39" spans="1:11" ht="15.75" thickBot="1" x14ac:dyDescent="0.3">
      <c r="D39" s="4">
        <f>D33</f>
        <v>362.4</v>
      </c>
    </row>
    <row r="40" spans="1:11" ht="16.5" thickTop="1" thickBot="1" x14ac:dyDescent="0.3">
      <c r="A40" s="216" t="s">
        <v>27</v>
      </c>
      <c r="B40" s="70" t="s">
        <v>2</v>
      </c>
      <c r="C40" s="64">
        <f>+Captura!F25</f>
        <v>0.35</v>
      </c>
      <c r="D40" s="1">
        <f>C40*$D$39</f>
        <v>126.83999999999999</v>
      </c>
      <c r="E40" s="8">
        <f>(D40/C52)*C49</f>
        <v>317.09999999999997</v>
      </c>
      <c r="G40" s="8">
        <f>SUM(E40:F40)</f>
        <v>317.09999999999997</v>
      </c>
      <c r="H40" s="19">
        <f>G40/D40</f>
        <v>2.5</v>
      </c>
      <c r="I40" s="8">
        <f>D40*H40</f>
        <v>317.09999999999997</v>
      </c>
    </row>
    <row r="41" spans="1:11" ht="16.5" thickTop="1" thickBot="1" x14ac:dyDescent="0.3">
      <c r="A41" s="216"/>
      <c r="B41" s="70" t="s">
        <v>15</v>
      </c>
      <c r="C41" s="64">
        <f>+Captura!F27</f>
        <v>0.25</v>
      </c>
      <c r="D41" s="1">
        <f t="shared" ref="D41:D43" si="0">C41*$D$39</f>
        <v>90.6</v>
      </c>
      <c r="E41" s="8">
        <f>((D41/C53)*C49)</f>
        <v>566.25</v>
      </c>
      <c r="F41" s="2">
        <f>((D41/C53)*C51)</f>
        <v>28.3125</v>
      </c>
      <c r="G41" s="8">
        <f t="shared" ref="G41:G42" si="1">SUM(E41:F41)</f>
        <v>594.5625</v>
      </c>
      <c r="H41" s="19">
        <f t="shared" ref="H41:H43" si="2">G41/D41</f>
        <v>6.5625</v>
      </c>
      <c r="I41" s="8">
        <f t="shared" ref="I41:I43" si="3">D41*H41</f>
        <v>594.5625</v>
      </c>
    </row>
    <row r="42" spans="1:11" ht="16.5" thickTop="1" thickBot="1" x14ac:dyDescent="0.3">
      <c r="A42" s="216"/>
      <c r="B42" s="70" t="s">
        <v>16</v>
      </c>
      <c r="C42" s="64">
        <f>+Captura!F29</f>
        <v>0.1</v>
      </c>
      <c r="D42" s="1">
        <f t="shared" si="0"/>
        <v>36.24</v>
      </c>
      <c r="E42" s="1">
        <f>((D42/C59)*C56)</f>
        <v>679.5</v>
      </c>
      <c r="F42" s="2">
        <f>((D42/C59)*(C58*C57))</f>
        <v>99.660000000000011</v>
      </c>
      <c r="G42" s="8">
        <f t="shared" si="1"/>
        <v>779.16</v>
      </c>
      <c r="H42" s="19">
        <f t="shared" si="2"/>
        <v>21.499999999999996</v>
      </c>
      <c r="I42" s="8">
        <f t="shared" si="3"/>
        <v>779.16</v>
      </c>
    </row>
    <row r="43" spans="1:11" ht="16.5" thickTop="1" thickBot="1" x14ac:dyDescent="0.3">
      <c r="A43" s="216"/>
      <c r="B43" s="70" t="s">
        <v>3</v>
      </c>
      <c r="C43" s="64">
        <f>+Captura!F31</f>
        <v>0.3</v>
      </c>
      <c r="D43" s="1">
        <f t="shared" si="0"/>
        <v>108.71999999999998</v>
      </c>
      <c r="G43" s="8">
        <f>D43*C61</f>
        <v>1630.7999999999997</v>
      </c>
      <c r="H43" s="19">
        <f t="shared" si="2"/>
        <v>15</v>
      </c>
      <c r="I43" s="8">
        <f t="shared" si="3"/>
        <v>1630.7999999999997</v>
      </c>
    </row>
    <row r="44" spans="1:11" ht="16.5" thickTop="1" thickBot="1" x14ac:dyDescent="0.3">
      <c r="C44" s="5">
        <f>SUM(C40:C43)</f>
        <v>1</v>
      </c>
      <c r="D44" s="4">
        <f>SUM(D40:D43)</f>
        <v>362.4</v>
      </c>
      <c r="I44" s="9">
        <f>SUM(I40:I43)</f>
        <v>3321.6224999999995</v>
      </c>
      <c r="J44" s="19">
        <f>I44/D44</f>
        <v>9.1656249999999986</v>
      </c>
      <c r="K44" s="19">
        <f>J44/D32</f>
        <v>1.8331249999999997</v>
      </c>
    </row>
    <row r="45" spans="1:11" ht="15" thickTop="1" x14ac:dyDescent="0.2"/>
    <row r="46" spans="1:11" ht="15" x14ac:dyDescent="0.25">
      <c r="B46" s="4" t="s">
        <v>5</v>
      </c>
    </row>
    <row r="47" spans="1:11" ht="15" thickBot="1" x14ac:dyDescent="0.25">
      <c r="H47" s="10" t="s">
        <v>65</v>
      </c>
    </row>
    <row r="48" spans="1:11" ht="16.5" thickTop="1" thickBot="1" x14ac:dyDescent="0.3">
      <c r="A48" s="216" t="s">
        <v>28</v>
      </c>
      <c r="B48" s="67" t="s">
        <v>6</v>
      </c>
      <c r="C48" s="63">
        <f>+Captura!F40</f>
        <v>8000</v>
      </c>
      <c r="E48" s="1" t="s">
        <v>60</v>
      </c>
      <c r="H48" s="65">
        <f>+Captura!N25</f>
        <v>0.01</v>
      </c>
    </row>
    <row r="49" spans="1:11" ht="16.5" thickTop="1" thickBot="1" x14ac:dyDescent="0.3">
      <c r="A49" s="216"/>
      <c r="B49" s="45" t="s">
        <v>21</v>
      </c>
      <c r="C49" s="23">
        <f>C48/160</f>
        <v>50</v>
      </c>
      <c r="E49" s="1" t="s">
        <v>61</v>
      </c>
      <c r="H49" s="65">
        <f>+Captura!N27</f>
        <v>2</v>
      </c>
    </row>
    <row r="50" spans="1:11" ht="16.5" thickTop="1" thickBot="1" x14ac:dyDescent="0.3">
      <c r="A50" s="216"/>
      <c r="B50" s="68" t="s">
        <v>12</v>
      </c>
      <c r="C50" s="58">
        <f>+Captura!F42</f>
        <v>20</v>
      </c>
      <c r="E50" s="1" t="s">
        <v>66</v>
      </c>
      <c r="H50" s="62">
        <f>K56*J56 +K57*J57 +K58*J58 +K59*J59</f>
        <v>16.799999999999997</v>
      </c>
    </row>
    <row r="51" spans="1:11" ht="16.5" thickTop="1" thickBot="1" x14ac:dyDescent="0.3">
      <c r="A51" s="216"/>
      <c r="B51" s="45" t="s">
        <v>22</v>
      </c>
      <c r="C51" s="23">
        <f>C50/8</f>
        <v>2.5</v>
      </c>
      <c r="E51" s="1" t="s">
        <v>62</v>
      </c>
      <c r="H51" s="65">
        <f>+Captura!N29</f>
        <v>1</v>
      </c>
    </row>
    <row r="52" spans="1:11" ht="16.5" thickTop="1" thickBot="1" x14ac:dyDescent="0.3">
      <c r="A52" s="216"/>
      <c r="B52" s="45" t="s">
        <v>81</v>
      </c>
      <c r="C52" s="58">
        <f>+Captura!F44</f>
        <v>20</v>
      </c>
      <c r="E52" s="1" t="s">
        <v>63</v>
      </c>
      <c r="H52" s="65">
        <f>+Captura!N31</f>
        <v>1</v>
      </c>
    </row>
    <row r="53" spans="1:11" ht="16.5" thickTop="1" thickBot="1" x14ac:dyDescent="0.3">
      <c r="A53" s="216"/>
      <c r="B53" s="46" t="s">
        <v>82</v>
      </c>
      <c r="C53" s="58">
        <f>+Captura!F46</f>
        <v>8</v>
      </c>
      <c r="E53" s="1" t="s">
        <v>64</v>
      </c>
      <c r="H53" s="65">
        <f>+Captura!N33</f>
        <v>1</v>
      </c>
    </row>
    <row r="54" spans="1:11" ht="16.5" thickTop="1" thickBot="1" x14ac:dyDescent="0.3">
      <c r="E54" s="1" t="s">
        <v>67</v>
      </c>
      <c r="H54" s="24">
        <f>SUM(H48:H53)</f>
        <v>21.809999999999995</v>
      </c>
    </row>
    <row r="55" spans="1:11" ht="16.5" thickTop="1" thickBot="1" x14ac:dyDescent="0.3">
      <c r="A55" s="216" t="s">
        <v>29</v>
      </c>
      <c r="B55" s="11" t="s">
        <v>8</v>
      </c>
      <c r="C55" s="63">
        <f>+Captura!N40</f>
        <v>12000</v>
      </c>
      <c r="K55" s="1" t="s">
        <v>65</v>
      </c>
    </row>
    <row r="56" spans="1:11" ht="16.5" thickTop="1" thickBot="1" x14ac:dyDescent="0.3">
      <c r="A56" s="216"/>
      <c r="B56" s="12" t="s">
        <v>9</v>
      </c>
      <c r="C56" s="23">
        <f>C55/160</f>
        <v>75</v>
      </c>
      <c r="E56" s="1" t="s">
        <v>2</v>
      </c>
      <c r="J56" s="64">
        <f>C40</f>
        <v>0.35</v>
      </c>
      <c r="K56" s="65">
        <f>+Captura!H25</f>
        <v>2</v>
      </c>
    </row>
    <row r="57" spans="1:11" ht="16.5" thickTop="1" thickBot="1" x14ac:dyDescent="0.3">
      <c r="A57" s="216"/>
      <c r="B57" s="12" t="s">
        <v>7</v>
      </c>
      <c r="C57" s="58">
        <f>+Captura!N42</f>
        <v>2.2000000000000002</v>
      </c>
      <c r="E57" s="1" t="s">
        <v>15</v>
      </c>
      <c r="J57" s="64">
        <f t="shared" ref="J57:J59" si="4">C41</f>
        <v>0.25</v>
      </c>
      <c r="K57" s="65">
        <f>+Captura!H27</f>
        <v>6</v>
      </c>
    </row>
    <row r="58" spans="1:11" ht="16.5" thickTop="1" thickBot="1" x14ac:dyDescent="0.3">
      <c r="A58" s="216"/>
      <c r="B58" s="12" t="s">
        <v>13</v>
      </c>
      <c r="C58" s="58">
        <f>+Captura!N44</f>
        <v>5</v>
      </c>
      <c r="E58" s="1" t="s">
        <v>16</v>
      </c>
      <c r="J58" s="64">
        <f t="shared" si="4"/>
        <v>0.1</v>
      </c>
      <c r="K58" s="65">
        <f>+Captura!H29</f>
        <v>2</v>
      </c>
    </row>
    <row r="59" spans="1:11" ht="16.5" thickTop="1" thickBot="1" x14ac:dyDescent="0.3">
      <c r="A59" s="216"/>
      <c r="B59" s="14" t="s">
        <v>14</v>
      </c>
      <c r="C59" s="58">
        <f>+Captura!N46</f>
        <v>4</v>
      </c>
      <c r="E59" s="1" t="s">
        <v>3</v>
      </c>
      <c r="J59" s="64">
        <f t="shared" si="4"/>
        <v>0.3</v>
      </c>
      <c r="K59" s="65">
        <f>+Captura!H31</f>
        <v>48</v>
      </c>
    </row>
    <row r="60" spans="1:11" ht="15.75" thickTop="1" thickBot="1" x14ac:dyDescent="0.25">
      <c r="C60" s="2"/>
      <c r="J60" s="1" t="s">
        <v>34</v>
      </c>
      <c r="K60" s="22">
        <f>(2*J56)+(K57*J57)+(K58*J58)+(K59*J59)</f>
        <v>16.799999999999997</v>
      </c>
    </row>
    <row r="61" spans="1:11" ht="16.5" thickTop="1" thickBot="1" x14ac:dyDescent="0.3">
      <c r="A61" s="21" t="s">
        <v>30</v>
      </c>
      <c r="B61" s="66" t="s">
        <v>11</v>
      </c>
      <c r="C61" s="63">
        <f>+Captura!N50</f>
        <v>15</v>
      </c>
    </row>
    <row r="62" spans="1:11" ht="15" thickTop="1" x14ac:dyDescent="0.2"/>
    <row r="68" spans="1:1" x14ac:dyDescent="0.2">
      <c r="A68" s="1" t="s">
        <v>59</v>
      </c>
    </row>
  </sheetData>
  <sheetProtection algorithmName="SHA-512" hashValue="JH6rqedT12ktffa+VRHquNMhFqwJ/+Q4YfQ7RqHHvMIdMYtbrPkv8ze3iyHbNy6pWj7OneE99nCSA/x5J5eGsg==" saltValue="2h6MbV7NEfvWiyHvRdlCgQ==" spinCount="100000" sheet="1" objects="1" scenarios="1" selectLockedCells="1" selectUnlockedCells="1"/>
  <mergeCells count="5">
    <mergeCell ref="A20:A21"/>
    <mergeCell ref="A23:A24"/>
    <mergeCell ref="A40:A43"/>
    <mergeCell ref="A48:A53"/>
    <mergeCell ref="A55:A59"/>
  </mergeCells>
  <pageMargins left="0.7" right="0.7" top="0.75" bottom="0.75" header="0.3" footer="0.3"/>
  <pageSetup paperSize="9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O89"/>
  <sheetViews>
    <sheetView topLeftCell="E1" zoomScale="90" zoomScaleNormal="90" workbookViewId="0">
      <selection activeCell="I12" sqref="I12"/>
    </sheetView>
  </sheetViews>
  <sheetFormatPr baseColWidth="10" defaultColWidth="11.42578125" defaultRowHeight="15" x14ac:dyDescent="0.25"/>
  <cols>
    <col min="1" max="1" width="6.7109375" customWidth="1"/>
    <col min="2" max="2" width="51.85546875" customWidth="1"/>
    <col min="3" max="3" width="13.28515625" bestFit="1" customWidth="1"/>
    <col min="4" max="4" width="12.140625" customWidth="1"/>
    <col min="5" max="5" width="17.5703125" customWidth="1"/>
    <col min="6" max="6" width="9.42578125" customWidth="1"/>
    <col min="7" max="7" width="42.28515625" customWidth="1"/>
    <col min="8" max="8" width="16.5703125" customWidth="1"/>
    <col min="9" max="9" width="10" bestFit="1" customWidth="1"/>
    <col min="10" max="10" width="48.28515625" customWidth="1"/>
    <col min="11" max="11" width="27.28515625" customWidth="1"/>
    <col min="12" max="12" width="13.28515625" bestFit="1" customWidth="1"/>
    <col min="13" max="13" width="15.5703125" customWidth="1"/>
    <col min="14" max="14" width="3.5703125" customWidth="1"/>
    <col min="15" max="15" width="16.5703125" customWidth="1"/>
    <col min="16" max="16" width="17.140625" customWidth="1"/>
    <col min="17" max="17" width="5.42578125" customWidth="1"/>
    <col min="18" max="18" width="12.42578125" customWidth="1"/>
    <col min="19" max="20" width="16" customWidth="1"/>
  </cols>
  <sheetData>
    <row r="1" spans="2:15" ht="6" customHeight="1" x14ac:dyDescent="0.25"/>
    <row r="2" spans="2:15" ht="29.25" customHeight="1" x14ac:dyDescent="0.25">
      <c r="C2" s="217" t="s">
        <v>86</v>
      </c>
      <c r="D2" s="217"/>
      <c r="E2" s="217"/>
      <c r="F2" s="217"/>
      <c r="G2" s="217"/>
      <c r="H2" s="217"/>
      <c r="I2" s="217"/>
      <c r="J2" s="217"/>
      <c r="M2" s="71"/>
      <c r="O2" s="72"/>
    </row>
    <row r="3" spans="2:15" ht="8.25" customHeight="1" thickBot="1" x14ac:dyDescent="0.3">
      <c r="M3" s="73"/>
    </row>
    <row r="4" spans="2:15" ht="21.75" customHeight="1" x14ac:dyDescent="0.25">
      <c r="B4" s="74"/>
      <c r="C4" s="75" t="s">
        <v>87</v>
      </c>
      <c r="D4" s="76" t="s">
        <v>88</v>
      </c>
      <c r="E4" s="75" t="s">
        <v>89</v>
      </c>
      <c r="G4" s="218" t="s">
        <v>90</v>
      </c>
      <c r="H4" s="219"/>
      <c r="I4" s="219"/>
      <c r="J4" s="220"/>
      <c r="L4" s="77"/>
      <c r="M4" s="78"/>
      <c r="O4" s="71"/>
    </row>
    <row r="5" spans="2:15" x14ac:dyDescent="0.25">
      <c r="B5" s="79"/>
      <c r="C5" s="79"/>
      <c r="D5" s="79"/>
      <c r="E5" s="79"/>
      <c r="G5" s="221" t="s">
        <v>91</v>
      </c>
      <c r="H5" s="222"/>
      <c r="I5" s="223"/>
      <c r="J5" s="80">
        <v>5400</v>
      </c>
      <c r="L5" s="77"/>
      <c r="M5" s="81"/>
      <c r="O5" s="71"/>
    </row>
    <row r="6" spans="2:15" ht="18" customHeight="1" x14ac:dyDescent="0.25">
      <c r="B6" s="82" t="s">
        <v>92</v>
      </c>
      <c r="C6" s="83">
        <v>90000</v>
      </c>
      <c r="D6" s="84">
        <v>0.55000000000000004</v>
      </c>
      <c r="E6" s="83">
        <f>C6*(1-D6)</f>
        <v>40499.999999999993</v>
      </c>
      <c r="F6" s="85"/>
      <c r="G6" s="221" t="s">
        <v>93</v>
      </c>
      <c r="H6" s="222"/>
      <c r="I6" s="223"/>
      <c r="J6" s="80">
        <v>1</v>
      </c>
      <c r="M6" s="73"/>
      <c r="O6" s="71"/>
    </row>
    <row r="7" spans="2:15" ht="18" customHeight="1" thickBot="1" x14ac:dyDescent="0.3">
      <c r="B7" s="82" t="s">
        <v>94</v>
      </c>
      <c r="C7" s="83">
        <v>325</v>
      </c>
      <c r="D7" s="84">
        <v>0.55000000000000004</v>
      </c>
      <c r="E7" s="83">
        <f>C7*(1-D7)</f>
        <v>146.24999999999997</v>
      </c>
      <c r="F7" s="85"/>
      <c r="G7" s="224" t="s">
        <v>95</v>
      </c>
      <c r="H7" s="225"/>
      <c r="I7" s="226"/>
      <c r="J7" s="86">
        <v>1</v>
      </c>
    </row>
    <row r="8" spans="2:15" ht="43.5" customHeight="1" x14ac:dyDescent="0.25">
      <c r="B8" s="82" t="s">
        <v>96</v>
      </c>
      <c r="C8" s="83">
        <v>158400</v>
      </c>
      <c r="D8" s="84">
        <v>0.4</v>
      </c>
      <c r="E8" s="83">
        <f>C8*(1-D8)</f>
        <v>95040</v>
      </c>
      <c r="F8" s="87"/>
      <c r="G8" s="88" t="s">
        <v>97</v>
      </c>
      <c r="H8" s="89" t="s">
        <v>98</v>
      </c>
      <c r="I8" s="89" t="s">
        <v>99</v>
      </c>
      <c r="J8" s="88" t="s">
        <v>100</v>
      </c>
      <c r="K8" s="90" t="s">
        <v>101</v>
      </c>
    </row>
    <row r="9" spans="2:15" x14ac:dyDescent="0.25">
      <c r="B9" s="82"/>
      <c r="C9" s="83"/>
      <c r="D9" s="84"/>
      <c r="E9" s="83"/>
      <c r="F9" s="87"/>
      <c r="G9" s="87" t="s">
        <v>102</v>
      </c>
      <c r="H9" s="91">
        <v>40500</v>
      </c>
      <c r="I9" s="92">
        <f>IF($I$12&gt;=1,1,0)</f>
        <v>1</v>
      </c>
      <c r="J9" s="93">
        <f>E6*I9</f>
        <v>40499.999999999993</v>
      </c>
      <c r="K9" s="90"/>
    </row>
    <row r="10" spans="2:15" x14ac:dyDescent="0.25">
      <c r="B10" s="94" t="s">
        <v>103</v>
      </c>
      <c r="C10" s="83"/>
      <c r="D10" s="84"/>
      <c r="E10" s="83"/>
      <c r="F10" s="87"/>
      <c r="G10" s="87" t="s">
        <v>104</v>
      </c>
      <c r="H10" s="91">
        <v>15000</v>
      </c>
      <c r="I10" s="92">
        <f>IF($I$12&gt;=1,1,0)</f>
        <v>1</v>
      </c>
      <c r="J10" s="93">
        <f>I10*H10</f>
        <v>15000</v>
      </c>
      <c r="K10" s="90"/>
    </row>
    <row r="11" spans="2:15" x14ac:dyDescent="0.25">
      <c r="B11" s="95" t="s">
        <v>105</v>
      </c>
      <c r="C11" s="83"/>
      <c r="D11" s="84"/>
      <c r="E11" s="83">
        <v>16200</v>
      </c>
      <c r="F11" s="87"/>
      <c r="G11" s="87" t="s">
        <v>228</v>
      </c>
      <c r="H11" s="91">
        <v>30600</v>
      </c>
      <c r="I11" s="92">
        <f>IF($I$12&gt;=1,1,0)</f>
        <v>1</v>
      </c>
      <c r="J11" s="93">
        <f>I11*H11</f>
        <v>30600</v>
      </c>
      <c r="K11" s="90"/>
    </row>
    <row r="12" spans="2:15" x14ac:dyDescent="0.25">
      <c r="B12" s="95" t="s">
        <v>106</v>
      </c>
      <c r="C12" s="96">
        <v>1</v>
      </c>
      <c r="D12" s="97">
        <v>0</v>
      </c>
      <c r="E12" s="83">
        <v>58.5</v>
      </c>
      <c r="F12" s="87"/>
      <c r="G12" s="87" t="s">
        <v>107</v>
      </c>
      <c r="H12" s="91">
        <v>146.25</v>
      </c>
      <c r="I12" s="92">
        <f>+Captura!N55</f>
        <v>50</v>
      </c>
      <c r="J12" s="98">
        <f>I12*H12</f>
        <v>7312.5</v>
      </c>
      <c r="K12" s="99"/>
    </row>
    <row r="13" spans="2:15" ht="15.75" x14ac:dyDescent="0.25">
      <c r="B13" s="95" t="s">
        <v>108</v>
      </c>
      <c r="C13" s="96">
        <v>2</v>
      </c>
      <c r="D13" s="100">
        <v>0.4</v>
      </c>
      <c r="E13" s="83"/>
      <c r="F13" s="90"/>
      <c r="G13" s="87"/>
      <c r="H13" s="87"/>
      <c r="I13" s="87"/>
      <c r="J13" s="202">
        <f>SUM(J9:J12)</f>
        <v>93412.5</v>
      </c>
      <c r="K13" s="90"/>
    </row>
    <row r="14" spans="2:15" ht="45" x14ac:dyDescent="0.25">
      <c r="B14" s="101" t="s">
        <v>109</v>
      </c>
      <c r="C14" s="96">
        <v>3</v>
      </c>
      <c r="D14" s="84">
        <v>0.5</v>
      </c>
      <c r="E14" s="83"/>
      <c r="F14" s="90"/>
      <c r="G14" s="88" t="s">
        <v>110</v>
      </c>
      <c r="H14" s="89" t="s">
        <v>98</v>
      </c>
      <c r="I14" s="89" t="s">
        <v>99</v>
      </c>
      <c r="J14" s="88" t="s">
        <v>100</v>
      </c>
      <c r="K14" s="90"/>
    </row>
    <row r="15" spans="2:15" x14ac:dyDescent="0.25">
      <c r="B15" s="101" t="s">
        <v>111</v>
      </c>
      <c r="C15" s="96">
        <v>4</v>
      </c>
      <c r="D15" s="84">
        <v>0.5</v>
      </c>
      <c r="E15" s="83"/>
      <c r="F15" s="90"/>
      <c r="G15" s="87" t="s">
        <v>112</v>
      </c>
      <c r="H15" s="91">
        <v>16200</v>
      </c>
      <c r="I15" s="121">
        <f>+I9</f>
        <v>1</v>
      </c>
      <c r="J15" s="93">
        <f>((E11)*J6)*(1-VLOOKUP(J6,C12:D16,2))*I9*I15</f>
        <v>16200</v>
      </c>
      <c r="K15" s="90"/>
    </row>
    <row r="16" spans="2:15" x14ac:dyDescent="0.25">
      <c r="B16" s="101" t="s">
        <v>113</v>
      </c>
      <c r="C16" s="96">
        <v>5</v>
      </c>
      <c r="D16" s="84">
        <v>0.5</v>
      </c>
      <c r="E16" s="83"/>
      <c r="F16" s="90"/>
      <c r="G16" s="87" t="s">
        <v>114</v>
      </c>
      <c r="H16" s="91">
        <f>170000*0.18</f>
        <v>30600</v>
      </c>
      <c r="I16" s="121">
        <f>+I11</f>
        <v>1</v>
      </c>
      <c r="J16" s="93"/>
      <c r="K16" s="90"/>
    </row>
    <row r="17" spans="1:12" x14ac:dyDescent="0.25">
      <c r="B17" s="82"/>
      <c r="C17" s="83"/>
      <c r="D17" s="84"/>
      <c r="E17" s="83"/>
      <c r="F17" s="90"/>
      <c r="G17" s="87" t="s">
        <v>115</v>
      </c>
      <c r="H17" s="91">
        <f>H10*0.18</f>
        <v>2700</v>
      </c>
      <c r="I17" s="121">
        <f>+I10</f>
        <v>1</v>
      </c>
      <c r="J17" s="93">
        <f>+H17</f>
        <v>2700</v>
      </c>
      <c r="K17" s="90"/>
    </row>
    <row r="18" spans="1:12" x14ac:dyDescent="0.25">
      <c r="B18" s="82"/>
      <c r="C18" s="83"/>
      <c r="D18" s="84"/>
      <c r="E18" s="83"/>
      <c r="F18" s="90"/>
      <c r="G18" s="87" t="s">
        <v>116</v>
      </c>
      <c r="H18" s="91">
        <f>325*0.18</f>
        <v>58.5</v>
      </c>
      <c r="I18" s="121">
        <f>+I12</f>
        <v>50</v>
      </c>
      <c r="J18" s="98">
        <f>I18*H18</f>
        <v>2925</v>
      </c>
    </row>
    <row r="19" spans="1:12" ht="15.75" x14ac:dyDescent="0.25">
      <c r="A19" s="102"/>
      <c r="B19" s="94" t="s">
        <v>117</v>
      </c>
      <c r="C19" s="83"/>
      <c r="D19" s="84"/>
      <c r="E19" s="83"/>
      <c r="F19" s="90"/>
      <c r="J19" s="203">
        <f>SUM(J15:J18)</f>
        <v>21825</v>
      </c>
      <c r="K19" s="204"/>
    </row>
    <row r="20" spans="1:12" ht="45" x14ac:dyDescent="0.25">
      <c r="B20" s="101" t="s">
        <v>118</v>
      </c>
      <c r="C20" s="103">
        <v>1</v>
      </c>
      <c r="D20" s="104"/>
      <c r="E20" s="83">
        <v>6000</v>
      </c>
      <c r="F20" s="90"/>
      <c r="G20" s="88" t="s">
        <v>119</v>
      </c>
      <c r="H20" s="89" t="s">
        <v>98</v>
      </c>
      <c r="I20" s="89" t="s">
        <v>99</v>
      </c>
      <c r="J20" s="88" t="s">
        <v>100</v>
      </c>
    </row>
    <row r="21" spans="1:12" x14ac:dyDescent="0.25">
      <c r="B21" s="101" t="s">
        <v>120</v>
      </c>
      <c r="C21" s="105">
        <v>2</v>
      </c>
      <c r="D21" s="84"/>
      <c r="E21" s="83">
        <v>9000</v>
      </c>
      <c r="F21" s="90"/>
      <c r="G21" s="90" t="s">
        <v>142</v>
      </c>
      <c r="H21" s="106">
        <v>560</v>
      </c>
      <c r="I21" s="107">
        <f>IF($I$9&gt;=1,50,0)</f>
        <v>50</v>
      </c>
      <c r="J21" s="203">
        <f>I21*H21</f>
        <v>28000</v>
      </c>
    </row>
    <row r="22" spans="1:12" x14ac:dyDescent="0.25">
      <c r="B22" s="101" t="s">
        <v>121</v>
      </c>
      <c r="C22" s="105">
        <v>3</v>
      </c>
      <c r="D22" s="84"/>
      <c r="E22" s="83">
        <v>13500</v>
      </c>
      <c r="F22" s="90"/>
      <c r="G22" s="90" t="s">
        <v>143</v>
      </c>
      <c r="H22" s="106">
        <v>560</v>
      </c>
      <c r="I22" s="107">
        <f>IF($I$9&gt;=1,25,0)</f>
        <v>25</v>
      </c>
      <c r="J22" s="73">
        <f>I22*H22</f>
        <v>14000</v>
      </c>
      <c r="K22" s="204"/>
    </row>
    <row r="23" spans="1:12" x14ac:dyDescent="0.25">
      <c r="B23" s="101" t="s">
        <v>123</v>
      </c>
      <c r="C23" s="105">
        <v>4</v>
      </c>
      <c r="D23" s="104"/>
      <c r="E23" s="83">
        <v>16200</v>
      </c>
      <c r="F23" s="90"/>
      <c r="G23" s="93" t="s">
        <v>122</v>
      </c>
      <c r="H23" s="106">
        <v>12000</v>
      </c>
      <c r="I23" s="107">
        <f>IF($I$9&gt;=1,1,0)</f>
        <v>1</v>
      </c>
      <c r="J23" s="203">
        <f>I23*H23</f>
        <v>12000</v>
      </c>
      <c r="K23" s="204"/>
    </row>
    <row r="24" spans="1:12" x14ac:dyDescent="0.25">
      <c r="B24" s="108"/>
      <c r="C24" s="109"/>
      <c r="D24" s="110"/>
      <c r="E24" s="109"/>
      <c r="F24" s="90"/>
      <c r="G24" s="93" t="s">
        <v>124</v>
      </c>
      <c r="H24" s="106">
        <v>18000</v>
      </c>
      <c r="I24" s="107">
        <v>0</v>
      </c>
      <c r="J24" s="73">
        <f>I24*H24</f>
        <v>0</v>
      </c>
    </row>
    <row r="25" spans="1:12" x14ac:dyDescent="0.25">
      <c r="G25" s="93" t="s">
        <v>125</v>
      </c>
      <c r="H25" s="106">
        <v>24000</v>
      </c>
      <c r="I25" s="107">
        <v>0</v>
      </c>
      <c r="J25" s="111">
        <f>I25*H25</f>
        <v>0</v>
      </c>
    </row>
    <row r="26" spans="1:12" x14ac:dyDescent="0.25">
      <c r="B26" s="85"/>
      <c r="C26" s="85"/>
      <c r="D26" s="112"/>
      <c r="E26" s="85"/>
      <c r="G26" s="93"/>
      <c r="H26" s="106"/>
      <c r="I26" s="107"/>
      <c r="J26" s="125"/>
      <c r="K26" s="91"/>
    </row>
    <row r="27" spans="1:12" ht="45" x14ac:dyDescent="0.25">
      <c r="B27" s="87"/>
      <c r="C27" s="87"/>
      <c r="D27" s="87"/>
      <c r="E27" s="87"/>
      <c r="G27" s="88" t="s">
        <v>145</v>
      </c>
      <c r="H27" s="89" t="s">
        <v>98</v>
      </c>
      <c r="I27" s="89"/>
      <c r="J27" s="88"/>
      <c r="K27" s="91"/>
    </row>
    <row r="28" spans="1:12" x14ac:dyDescent="0.25">
      <c r="A28" s="90"/>
      <c r="B28" s="90"/>
      <c r="C28" s="90"/>
      <c r="D28" s="90"/>
      <c r="E28" s="90"/>
      <c r="G28" s="93" t="s">
        <v>146</v>
      </c>
      <c r="H28" s="203">
        <f>+J13+J21+J19+J23</f>
        <v>155237.5</v>
      </c>
      <c r="I28" s="107"/>
      <c r="J28" s="125"/>
      <c r="K28" s="91"/>
    </row>
    <row r="29" spans="1:12" x14ac:dyDescent="0.25">
      <c r="A29" s="90"/>
      <c r="B29" s="90"/>
      <c r="G29" s="124" t="s">
        <v>147</v>
      </c>
      <c r="H29" s="205">
        <f>+J19+J23+J22</f>
        <v>47825</v>
      </c>
      <c r="I29" s="90"/>
      <c r="J29" s="73">
        <f>I29*H29</f>
        <v>0</v>
      </c>
      <c r="K29" s="91"/>
    </row>
    <row r="30" spans="1:12" ht="15.75" x14ac:dyDescent="0.25">
      <c r="A30" s="90"/>
      <c r="B30" s="90"/>
      <c r="C30" s="90"/>
      <c r="D30" s="117"/>
      <c r="E30" s="118"/>
      <c r="G30" s="113" t="s">
        <v>126</v>
      </c>
      <c r="H30" s="113"/>
      <c r="I30" s="114" t="s">
        <v>127</v>
      </c>
      <c r="J30" s="115">
        <f>J19+J13</f>
        <v>115237.5</v>
      </c>
      <c r="K30" s="91"/>
      <c r="L30" s="71"/>
    </row>
    <row r="31" spans="1:12" x14ac:dyDescent="0.25">
      <c r="A31" s="90"/>
      <c r="B31" s="90"/>
      <c r="C31" s="90"/>
      <c r="D31" s="117"/>
      <c r="E31" s="118"/>
      <c r="I31" t="s">
        <v>128</v>
      </c>
      <c r="J31" s="71">
        <f>+H29</f>
        <v>47825</v>
      </c>
      <c r="K31" s="91"/>
    </row>
    <row r="32" spans="1:12" s="119" customFormat="1" x14ac:dyDescent="0.25">
      <c r="A32" s="90"/>
      <c r="B32" s="90"/>
      <c r="C32" s="90"/>
      <c r="D32" s="117"/>
      <c r="E32" s="118"/>
      <c r="F32" s="90"/>
      <c r="G32" s="116" t="s">
        <v>129</v>
      </c>
      <c r="H32" s="116"/>
      <c r="I32" t="s">
        <v>130</v>
      </c>
      <c r="J32" s="71">
        <f>+J31</f>
        <v>47825</v>
      </c>
      <c r="K32" s="91"/>
    </row>
    <row r="33" spans="1:11" x14ac:dyDescent="0.25">
      <c r="A33" s="90"/>
      <c r="B33" s="90"/>
      <c r="C33" s="90"/>
      <c r="D33" s="117"/>
      <c r="E33" s="118"/>
      <c r="F33" s="90"/>
      <c r="G33" t="s">
        <v>131</v>
      </c>
      <c r="K33" s="91"/>
    </row>
    <row r="34" spans="1:11" x14ac:dyDescent="0.25">
      <c r="A34" s="90"/>
      <c r="B34" s="90"/>
      <c r="C34" s="90"/>
      <c r="D34" s="117"/>
      <c r="E34" s="118"/>
      <c r="G34" t="s">
        <v>132</v>
      </c>
    </row>
    <row r="35" spans="1:11" x14ac:dyDescent="0.25">
      <c r="A35" s="90"/>
      <c r="B35" s="90"/>
      <c r="C35" s="90"/>
      <c r="D35" s="117"/>
      <c r="E35" s="118"/>
      <c r="F35" s="90"/>
      <c r="G35" t="s">
        <v>133</v>
      </c>
    </row>
    <row r="36" spans="1:11" x14ac:dyDescent="0.25">
      <c r="A36" s="90"/>
      <c r="B36" s="90"/>
      <c r="C36" s="90"/>
      <c r="D36" s="117"/>
      <c r="E36" s="118"/>
      <c r="F36" s="90"/>
    </row>
    <row r="37" spans="1:11" x14ac:dyDescent="0.25">
      <c r="A37" s="90"/>
      <c r="B37" s="90"/>
      <c r="C37" s="90"/>
      <c r="D37" s="117"/>
      <c r="E37" s="118"/>
      <c r="F37" s="90"/>
      <c r="G37" s="90" t="s">
        <v>134</v>
      </c>
      <c r="H37" s="119"/>
    </row>
    <row r="38" spans="1:11" x14ac:dyDescent="0.25">
      <c r="A38" s="90"/>
      <c r="B38" s="90"/>
      <c r="C38" s="90"/>
      <c r="D38" s="117"/>
      <c r="E38" s="118"/>
      <c r="F38" s="90"/>
      <c r="G38" s="106">
        <v>15000</v>
      </c>
      <c r="H38" s="90" t="s">
        <v>135</v>
      </c>
      <c r="I38" s="90"/>
      <c r="J38" s="87"/>
    </row>
    <row r="39" spans="1:11" x14ac:dyDescent="0.25">
      <c r="A39" s="90"/>
      <c r="B39" s="90"/>
      <c r="C39" s="90"/>
      <c r="D39" s="117"/>
      <c r="E39" s="118"/>
      <c r="F39" s="90"/>
      <c r="G39" s="73">
        <v>30000</v>
      </c>
      <c r="H39" t="s">
        <v>136</v>
      </c>
      <c r="I39" s="90"/>
      <c r="J39" s="87"/>
    </row>
    <row r="40" spans="1:11" x14ac:dyDescent="0.25">
      <c r="A40" s="90"/>
      <c r="B40" s="90"/>
      <c r="C40" s="90"/>
      <c r="D40" s="117"/>
      <c r="E40" s="118"/>
      <c r="F40" s="90"/>
      <c r="G40" s="106">
        <v>40000</v>
      </c>
      <c r="H40" s="90" t="s">
        <v>137</v>
      </c>
      <c r="I40" s="90"/>
      <c r="J40" s="87"/>
    </row>
    <row r="41" spans="1:11" x14ac:dyDescent="0.25">
      <c r="A41" s="90"/>
      <c r="B41" s="90"/>
      <c r="C41" s="90"/>
      <c r="D41" s="117"/>
      <c r="E41" s="118"/>
      <c r="F41" s="90"/>
      <c r="G41" s="90"/>
      <c r="H41" s="90"/>
      <c r="I41" s="90"/>
      <c r="J41" s="87"/>
    </row>
    <row r="42" spans="1:11" x14ac:dyDescent="0.25">
      <c r="A42" s="90"/>
      <c r="B42" s="90"/>
      <c r="C42" s="90"/>
      <c r="D42" s="117"/>
      <c r="E42" s="118"/>
      <c r="F42" s="90"/>
      <c r="G42" s="90"/>
      <c r="H42" s="90"/>
      <c r="I42" s="120"/>
      <c r="J42" s="87"/>
    </row>
    <row r="43" spans="1:11" x14ac:dyDescent="0.25">
      <c r="A43" s="90"/>
      <c r="B43" s="90"/>
      <c r="C43" s="90"/>
      <c r="D43" s="117"/>
      <c r="E43" s="118"/>
      <c r="F43" s="90"/>
      <c r="G43" s="90"/>
      <c r="H43" s="90"/>
      <c r="I43" s="90"/>
      <c r="J43" s="87"/>
    </row>
    <row r="44" spans="1:11" x14ac:dyDescent="0.25">
      <c r="A44" s="90"/>
      <c r="B44" s="90"/>
      <c r="C44" s="90"/>
      <c r="D44" s="117"/>
      <c r="E44" s="118"/>
      <c r="F44" s="90"/>
      <c r="G44" s="90"/>
      <c r="H44" s="90"/>
      <c r="I44" s="90"/>
      <c r="J44" s="87"/>
    </row>
    <row r="45" spans="1:11" x14ac:dyDescent="0.25">
      <c r="A45" s="90"/>
      <c r="B45" s="90"/>
      <c r="C45" s="90"/>
      <c r="D45" s="90"/>
      <c r="E45" s="90"/>
      <c r="F45" s="90"/>
      <c r="G45" s="90"/>
      <c r="H45" s="90"/>
      <c r="I45" s="90"/>
      <c r="J45" s="87"/>
    </row>
    <row r="46" spans="1:11" x14ac:dyDescent="0.25">
      <c r="A46" s="90"/>
      <c r="B46" s="90"/>
      <c r="C46" s="90"/>
      <c r="D46" s="90"/>
      <c r="E46" s="90"/>
      <c r="F46" s="90"/>
      <c r="G46" s="90"/>
      <c r="H46" s="90"/>
      <c r="I46" s="90"/>
    </row>
    <row r="47" spans="1:11" x14ac:dyDescent="0.25">
      <c r="A47" s="90"/>
      <c r="G47" s="90"/>
      <c r="H47" s="90"/>
    </row>
    <row r="48" spans="1:11" x14ac:dyDescent="0.25">
      <c r="G48" s="90"/>
      <c r="H48" s="90"/>
    </row>
    <row r="49" spans="7:8" x14ac:dyDescent="0.25">
      <c r="G49" s="90"/>
      <c r="H49" s="90"/>
    </row>
    <row r="50" spans="7:8" x14ac:dyDescent="0.25">
      <c r="G50" s="90"/>
      <c r="H50" s="90"/>
    </row>
    <row r="51" spans="7:8" x14ac:dyDescent="0.25">
      <c r="G51" s="90"/>
      <c r="H51" s="90"/>
    </row>
    <row r="79" ht="35.25" customHeight="1" x14ac:dyDescent="0.25"/>
    <row r="87" spans="9:9" x14ac:dyDescent="0.25">
      <c r="I87">
        <v>23800</v>
      </c>
    </row>
    <row r="88" spans="9:9" x14ac:dyDescent="0.25">
      <c r="I88">
        <f>I87-7000</f>
        <v>16800</v>
      </c>
    </row>
    <row r="89" spans="9:9" x14ac:dyDescent="0.25">
      <c r="I89">
        <f>I88+1600</f>
        <v>18400</v>
      </c>
    </row>
  </sheetData>
  <sheetProtection algorithmName="SHA-512" hashValue="/1kd4LSDnQ2kf5G3n2RUKRJzsLsvYabB+gCQj4vE/c4ZDP06DLdyf0B8Xj+l3Tdmiit4SlrUa0m9KMB9yYHL5A==" saltValue="y3YxujgmqdMgZsWY0iwaKw==" spinCount="100000" sheet="1" objects="1" scenarios="1" selectLockedCells="1" selectUnlockedCells="1"/>
  <mergeCells count="5">
    <mergeCell ref="C2:J2"/>
    <mergeCell ref="G4:J4"/>
    <mergeCell ref="G5:I5"/>
    <mergeCell ref="G6:I6"/>
    <mergeCell ref="G7:I7"/>
  </mergeCells>
  <pageMargins left="0.19" right="0.17" top="0.75" bottom="0.75" header="0.3" footer="0.3"/>
  <pageSetup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locked="0" defaultSize="0" autoLine="0" autoPict="0">
                <anchor mov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9</xdr:col>
                    <xdr:colOff>1152525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locked="0" defaultSize="0" autoLine="0" autoPict="0">
                <anchor moveWithCells="1">
                  <from>
                    <xdr:col>9</xdr:col>
                    <xdr:colOff>0</xdr:colOff>
                    <xdr:row>6</xdr:row>
                    <xdr:rowOff>0</xdr:rowOff>
                  </from>
                  <to>
                    <xdr:col>9</xdr:col>
                    <xdr:colOff>1152525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Captura</vt:lpstr>
      <vt:lpstr>Calculos a Detalle Captura</vt:lpstr>
      <vt:lpstr>Calculos pegasus</vt:lpstr>
      <vt:lpstr>Captura!Área_de_impresión</vt:lpstr>
      <vt:lpstr>Captura!Títulos_a_imprimir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Altbach Gary</dc:creator>
  <cp:lastModifiedBy>Fernando Colin Gamez</cp:lastModifiedBy>
  <cp:lastPrinted>2016-05-06T19:22:04Z</cp:lastPrinted>
  <dcterms:created xsi:type="dcterms:W3CDTF">2009-10-09T00:50:44Z</dcterms:created>
  <dcterms:modified xsi:type="dcterms:W3CDTF">2016-06-01T17:41:13Z</dcterms:modified>
</cp:coreProperties>
</file>